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Master Guide" sheetId="2" state="visible" r:id="rId4"/>
    <sheet name="📊 Dashboard" sheetId="3" state="visible" r:id="rId5"/>
    <sheet name="💰 Cost Input" sheetId="4" state="visible" r:id="rId6"/>
    <sheet name="⚖️ Break-Even" sheetId="5" state="visible" r:id="rId7"/>
    <sheet name="📈 Revenue Planner" sheetId="6" state="visible" r:id="rId8"/>
    <sheet name="💵 Cash Flow" sheetId="7" state="visible" r:id="rId9"/>
    <sheet name="📊 P&amp;L" sheetId="8" state="visible" r:id="rId10"/>
    <sheet name="📅 Monthly Forecast" sheetId="9" state="visible" r:id="rId11"/>
    <sheet name="🎯 KPI Tracker" sheetId="10" state="visible" r:id="rId12"/>
    <sheet name="📊 Profit Analyzer" sheetId="11" state="visible" r:id="rId13"/>
    <sheet name="📊 PA Dashboard" sheetId="12" state="visible" r:id="rId14"/>
    <sheet name="📦 Product Input" sheetId="13" state="visible" r:id="rId15"/>
    <sheet name="🧳 Inventory Planner" sheetId="14" state="visible" r:id="rId16"/>
    <sheet name="📊 SF Dashboard" sheetId="15" state="visible" r:id="rId17"/>
    <sheet name="📊 MR Dashboard" sheetId="16" state="visible" r:id="rId18"/>
    <sheet name="📣 Marketing Engine" sheetId="17" state="visible" r:id="rId19"/>
    <sheet name="📋 PA Guide" sheetId="18" state="visible" r:id="rId20"/>
    <sheet name="📋 Instructions" sheetId="19" state="visible" r:id="rId2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<sst xmlns="http://schemas.openxmlformats.org/spreadsheetml/2006/main" count="962" uniqueCount="596">
  <si>
    <t xml:space="preserve">LumixAI</t>
  </si>
  <si>
    <t xml:space="preserve">Commercial Intelligence for SME Owners</t>
  </si>
  <si>
    <t xml:space="preserve">COMPLETE COMMERCIAL SUITE</t>
  </si>
  <si>
    <t xml:space="preserve">Every commercial tool your SME needs — in one integrated workbook</t>
  </si>
  <si>
    <t xml:space="preserve">WHAT'S INCLUDED — 10 INTEGRATED MODULES</t>
  </si>
  <si>
    <t xml:space="preserve">📊 Master Dashboard</t>
  </si>
  <si>
    <t xml:space="preserve">Business health overview — all modules connected in one view</t>
  </si>
  <si>
    <t xml:space="preserve">💰 Cost Input</t>
  </si>
  <si>
    <t xml:space="preserve">Fixed and variable costs — feeds every other module automatically</t>
  </si>
  <si>
    <t xml:space="preserve">⚖️ Break-Even Analyser</t>
  </si>
  <si>
    <t xml:space="preserve">Break-even units and revenue per product and portfolio</t>
  </si>
  <si>
    <t xml:space="preserve">📈 Revenue Planner</t>
  </si>
  <si>
    <t xml:space="preserve">Portfolio-level revenue, profit, and target planning</t>
  </si>
  <si>
    <t xml:space="preserve">💵 Cash Flow Forecast</t>
  </si>
  <si>
    <t xml:space="preserve">12-month rolling cashflow — with VAT liability tracking</t>
  </si>
  <si>
    <t xml:space="preserve">📊 P&amp;L</t>
  </si>
  <si>
    <t xml:space="preserve">Monthly management accounts — actual vs prior month</t>
  </si>
  <si>
    <t xml:space="preserve">🎯 KPI Tracker</t>
  </si>
  <si>
    <t xml:space="preserve">Monthly actuals vs targets — RAG status on every KPI</t>
  </si>
  <si>
    <t xml:space="preserve">📊 Profit Analyser</t>
  </si>
  <si>
    <t xml:space="preserve">True net margin per product after ALL costs — ABC classification</t>
  </si>
  <si>
    <t xml:space="preserve">📦 Sales Forecaster</t>
  </si>
  <si>
    <t xml:space="preserve">12-month unit and revenue forecast — with inventory planning</t>
  </si>
  <si>
    <t xml:space="preserve">📣 Marketing ROI</t>
  </si>
  <si>
    <t xml:space="preserve">Campaign-by-campaign ROI, ROAS, and profit contribution</t>
  </si>
  <si>
    <t xml:space="preserve">HOW TO START</t>
  </si>
  <si>
    <t xml:space="preserve">  Step 1  →  Read the Master Guide sheet (tab 2)</t>
  </si>
  <si>
    <t xml:space="preserve">  Step 2  →  Go to 💰 Cost Input and enter your monthly fixed and variable costs</t>
  </si>
  <si>
    <t xml:space="preserve">  Step 3  →  Go to ⚖️ Break-Even and enter your product selling prices (exc. VAT)</t>
  </si>
  <si>
    <t xml:space="preserve">  Step 4  →  Go to 📊 Profit Analyser and enter your full product cost build-up</t>
  </si>
  <si>
    <t xml:space="preserve">  Step 5  →  Go to 📦 Product Input and enter your sales history or forecast base</t>
  </si>
  <si>
    <t xml:space="preserve">  Step 6  →  Go to 📣 Marketing Engine and log your campaigns</t>
  </si>
  <si>
    <t xml:space="preserve">  Step 7  →  Review 📊 Dashboard for your complete business health overview</t>
  </si>
  <si>
    <t xml:space="preserve">lumixai.co.uk  ·  hello@lumixai.co.uk  ·  Complete Commercial Suite v1.0  ·  £79.99</t>
  </si>
  <si>
    <t xml:space="preserve">LumixAI  ·  Complete Commercial Suite  ·  Master Guide</t>
  </si>
  <si>
    <t xml:space="preserve">Read this before entering any data  ·  All figures EXCLUDING VAT throughout</t>
  </si>
  <si>
    <t xml:space="preserve">1. WHAT THIS WORKBOOK IS</t>
  </si>
  <si>
    <t xml:space="preserve">Connects 10 modules into one integrated system. Data flows automatically to dashboards. Suitable for SME businesses with £100k–£2m+ turnover. No accounting qualification needed.</t>
  </si>
  <si>
    <t xml:space="preserve">2. VAT — READ FIRST</t>
  </si>
  <si>
    <t xml:space="preserve">If VAT registered: enter ALL figures EXCLUDING VAT (net figures). If NOT registered (under £90k): use actual prices as-is. Cash Flow: VAT collected is NOT your money — it belongs to HMRC.</t>
  </si>
  <si>
    <t xml:space="preserve">3. COLOUR CODING</t>
  </si>
  <si>
    <t xml:space="preserve">Blue cells = your inputs. Black text = auto-calculated formulas (do not edit). Green text = linked from another sheet. Red status = action required. Amber = monitor. Green = healthy.</t>
  </si>
  <si>
    <t xml:space="preserve">4. START WITH COST INPUT</t>
  </si>
  <si>
    <t xml:space="preserve">Enter ALL costs first. Fixed costs (same every month) and variable costs (per unit). This feeds Break-Even, Revenue Planner, and P&amp;L automatically. Do not skip this step.</t>
  </si>
  <si>
    <t xml:space="preserve">5. MODULE ORDER</t>
  </si>
  <si>
    <t xml:space="preserve">1. Cost Input → 2. Break-Even → 3. Revenue Planner → 4. Cash Flow → 5. P&amp;L → 6. KPI Tracker → 7. Profit Analyser → 8. Product Input → 9. Marketing Engine → 10. Dashboard</t>
  </si>
  <si>
    <t xml:space="preserve">6. DUMMY DATA</t>
  </si>
  <si>
    <t xml:space="preserve">Pre-loaded with example figures. Replace blue cells with your own data. Do not delete formula cells (black text). Use consistent product names across all sheets.</t>
  </si>
  <si>
    <t xml:space="preserve">LumixAI  ·  lumixai.co.uk  ·  hello@lumixai.co.uk  ·  Complete Commercial Suite v1.0</t>
  </si>
  <si>
    <t xml:space="preserve">LumixAI  ·  COMPLETE COMMERCIAL SUITE</t>
  </si>
  <si>
    <t xml:space="preserve">Break-Even  ·  Revenue Planner  ·  Cash Flow  ·  P&amp;L  ·  KPI Tracker  ·  Profit Analyser  ·  Sales Forecast  ·  Marketing ROI</t>
  </si>
  <si>
    <t xml:space="preserve">  📋  EXECUTIVE SUMMARY  ·  Auto-updated across all modules</t>
  </si>
  <si>
    <t xml:space="preserve">Monthly Fixed Costs</t>
  </si>
  <si>
    <t xml:space="preserve">Variable Cost per Unit</t>
  </si>
  <si>
    <t xml:space="preserve">Net Margin %</t>
  </si>
  <si>
    <t xml:space="preserve">Avg Product Net Margin %</t>
  </si>
  <si>
    <t xml:space="preserve">Total Marketing Spend</t>
  </si>
  <si>
    <t xml:space="preserve">Marketing Net Profit</t>
  </si>
  <si>
    <t xml:space="preserve">  🔍  FIVE-SIGNAL HEALTH CHECK  ·  🟢 = healthy  ·  🟡 = monitor  ·  🔴 = action needed</t>
  </si>
  <si>
    <t xml:space="preserve">P&amp;L Health</t>
  </si>
  <si>
    <t xml:space="preserve">Gross Margin</t>
  </si>
  <si>
    <t xml:space="preserve">Marketing ROI</t>
  </si>
  <si>
    <t xml:space="preserve">Avg Net Margin</t>
  </si>
  <si>
    <t xml:space="preserve">  KEY PERFORMANCE INDICATORS  (auto-calculated from your data)</t>
  </si>
  <si>
    <t xml:space="preserve">Blended BE Units</t>
  </si>
  <si>
    <t xml:space="preserve">Cash in Stock</t>
  </si>
  <si>
    <t xml:space="preserve">Revenue Target</t>
  </si>
  <si>
    <t xml:space="preserve">Net Profit (Month)</t>
  </si>
  <si>
    <t xml:space="preserve">  WORKSHEET NAVIGATOR  ·  Click sheet tabs to navigate</t>
  </si>
  <si>
    <t xml:space="preserve">Enter all fixed and variable costs</t>
  </si>
  <si>
    <t xml:space="preserve">Update monthly — drives all sheets</t>
  </si>
  <si>
    <t xml:space="preserve">⚖️ Break-Even</t>
  </si>
  <si>
    <t xml:space="preserve">Break-even per product and portfolio</t>
  </si>
  <si>
    <t xml:space="preserve">Reads from Cost Input automatically</t>
  </si>
  <si>
    <t xml:space="preserve">Portfolio revenue targets and profit goals</t>
  </si>
  <si>
    <t xml:space="preserve">Set target profit and blended pricing</t>
  </si>
  <si>
    <t xml:space="preserve">💵 Cash Flow</t>
  </si>
  <si>
    <t xml:space="preserve">12-month rolling cash flow forecast</t>
  </si>
  <si>
    <t xml:space="preserve">Enter monthly receipts and payments</t>
  </si>
  <si>
    <t xml:space="preserve">Monthly Profit &amp; Loss statement</t>
  </si>
  <si>
    <t xml:space="preserve">Enter revenue; costs auto-fill</t>
  </si>
  <si>
    <t xml:space="preserve">Track 12 key business metrics over time</t>
  </si>
  <si>
    <t xml:space="preserve">Log actuals each month</t>
  </si>
  <si>
    <t xml:space="preserve">📊 Profit Analyzer</t>
  </si>
  <si>
    <t xml:space="preserve">Product profitability, FX risk, ABC classification</t>
  </si>
  <si>
    <t xml:space="preserve">Enter product cost, price, volume</t>
  </si>
  <si>
    <t xml:space="preserve">📦 Product Input</t>
  </si>
  <si>
    <t xml:space="preserve">Sales forecast and stock planning</t>
  </si>
  <si>
    <t xml:space="preserve">Enter historical sales and stock data</t>
  </si>
  <si>
    <t xml:space="preserve">🧳 Inventory Planner</t>
  </si>
  <si>
    <t xml:space="preserve">Stock levels, reorder quantities, cash in stock</t>
  </si>
  <si>
    <t xml:space="preserve">Enter unit costs to see cash tied up</t>
  </si>
  <si>
    <t xml:space="preserve">📣 Marketing Engine</t>
  </si>
  <si>
    <t xml:space="preserve">Campaign ROI and cost analysis</t>
  </si>
  <si>
    <t xml:space="preserve">Enter campaign spend and results</t>
  </si>
  <si>
    <t xml:space="preserve">LumixAI  ·  COST INPUT</t>
  </si>
  <si>
    <t xml:space="preserve">Enter all fixed and variable costs  ·  These feed Break-Even, Revenue Planner, and P&amp;L automatically</t>
  </si>
  <si>
    <t xml:space="preserve">|  VAT NOTE: All figures EXCLUDING VAT — if VAT registered use net figures; if not registered (under £90k) use actual prices</t>
  </si>
  <si>
    <t xml:space="preserve">  FIXED COSTS  (monthly, regardless of sales volume)</t>
  </si>
  <si>
    <t xml:space="preserve">Cost Type</t>
  </si>
  <si>
    <t xml:space="preserve">Category</t>
  </si>
  <si>
    <t xml:space="preserve">Cost Item</t>
  </si>
  <si>
    <t xml:space="preserve">Monthly Cost (£)</t>
  </si>
  <si>
    <t xml:space="preserve">Notes / Source</t>
  </si>
  <si>
    <t xml:space="preserve">Fixed</t>
  </si>
  <si>
    <t xml:space="preserve">Premises</t>
  </si>
  <si>
    <t xml:space="preserve">Unit / Warehouse Rent</t>
  </si>
  <si>
    <t xml:space="preserve">Utilities &amp; Rates</t>
  </si>
  <si>
    <t xml:space="preserve">People</t>
  </si>
  <si>
    <t xml:space="preserve">Salaried Staff (2 FTE)</t>
  </si>
  <si>
    <t xml:space="preserve">Insurance</t>
  </si>
  <si>
    <t xml:space="preserve">Business Insurance</t>
  </si>
  <si>
    <t xml:space="preserve">Systems</t>
  </si>
  <si>
    <t xml:space="preserve">Software Subscriptions</t>
  </si>
  <si>
    <t xml:space="preserve">Finance</t>
  </si>
  <si>
    <t xml:space="preserve">Equipment Lease</t>
  </si>
  <si>
    <t xml:space="preserve">Marketing</t>
  </si>
  <si>
    <t xml:space="preserve">Retained Marketing Agency</t>
  </si>
  <si>
    <t xml:space="preserve">Other</t>
  </si>
  <si>
    <t xml:space="preserve">Accountancy &amp; Legal</t>
  </si>
  <si>
    <t xml:space="preserve">Miscellaneous Overheads</t>
  </si>
  <si>
    <t xml:space="preserve">TOTAL MONTHLY FIXED COSTS</t>
  </si>
  <si>
    <t xml:space="preserve">  VARIABLE COSTS  (per unit produced/sold)</t>
  </si>
  <si>
    <t xml:space="preserve">Cost per Unit (£)</t>
  </si>
  <si>
    <t xml:space="preserve">Variable</t>
  </si>
  <si>
    <t xml:space="preserve">Product</t>
  </si>
  <si>
    <t xml:space="preserve">Cost of Goods / Materials</t>
  </si>
  <si>
    <t xml:space="preserve">Packaging</t>
  </si>
  <si>
    <t xml:space="preserve">Packaging &amp; Boxes</t>
  </si>
  <si>
    <t xml:space="preserve">Logistics</t>
  </si>
  <si>
    <t xml:space="preserve">Delivery / Shipping per Unit</t>
  </si>
  <si>
    <t xml:space="preserve">Payments</t>
  </si>
  <si>
    <t xml:space="preserve">Card / Payment Fees</t>
  </si>
  <si>
    <t xml:space="preserve">Import</t>
  </si>
  <si>
    <t xml:space="preserve">Import / Customs Handling</t>
  </si>
  <si>
    <t xml:space="preserve">Labour</t>
  </si>
  <si>
    <t xml:space="preserve">Direct Labour per Unit</t>
  </si>
  <si>
    <t xml:space="preserve">Returns &amp; Quality Allowance</t>
  </si>
  <si>
    <t xml:space="preserve">Other Variable Cost</t>
  </si>
  <si>
    <t xml:space="preserve">TOTAL VARIABLE COST PER UNIT</t>
  </si>
  <si>
    <t xml:space="preserve">LumixAI  ·  BREAK-EVEN ANALYSER</t>
  </si>
  <si>
    <t xml:space="preserve">Per-product break-even  ·  Costs pull automatically from Cost Input  ·  Selling prices EXCLUDING VAT</t>
  </si>
  <si>
    <t xml:space="preserve">Blended Break-Even Units (avg)</t>
  </si>
  <si>
    <t xml:space="preserve">  PRODUCT BREAK-EVEN TABLE  (up to 50 products)</t>
  </si>
  <si>
    <t xml:space="preserve">Selling Price (£)</t>
  </si>
  <si>
    <t xml:space="preserve">Variable Cost (£)</t>
  </si>
  <si>
    <t xml:space="preserve">Contribution (£)</t>
  </si>
  <si>
    <t xml:space="preserve">Monthly Fixed (£)</t>
  </si>
  <si>
    <t xml:space="preserve">Break-Even Units</t>
  </si>
  <si>
    <t xml:space="preserve">Break-Even Revenue (£)</t>
  </si>
  <si>
    <t xml:space="preserve">Target Profit (£)</t>
  </si>
  <si>
    <t xml:space="preserve">Dining Chair</t>
  </si>
  <si>
    <t xml:space="preserve">'💰 Cost Input'!D26</t>
  </si>
  <si>
    <t xml:space="preserve">'💰 Cost Input'!D15</t>
  </si>
  <si>
    <t xml:space="preserve">Coffee Table</t>
  </si>
  <si>
    <t xml:space="preserve">Bedside Table</t>
  </si>
  <si>
    <t xml:space="preserve">Bookshelf</t>
  </si>
  <si>
    <t xml:space="preserve">Floor Lamp</t>
  </si>
  <si>
    <t xml:space="preserve">Wall Mirror</t>
  </si>
  <si>
    <t xml:space="preserve">Desk &amp; Chair Set</t>
  </si>
  <si>
    <t xml:space="preserve">Storage Ottoman</t>
  </si>
  <si>
    <t xml:space="preserve">Console Table</t>
  </si>
  <si>
    <t xml:space="preserve">TV Stand</t>
  </si>
  <si>
    <t xml:space="preserve">Product 11</t>
  </si>
  <si>
    <t xml:space="preserve">Product 12</t>
  </si>
  <si>
    <t xml:space="preserve">Product 13</t>
  </si>
  <si>
    <t xml:space="preserve">Product 14</t>
  </si>
  <si>
    <t xml:space="preserve">Product 15</t>
  </si>
  <si>
    <t xml:space="preserve">Product 16</t>
  </si>
  <si>
    <t xml:space="preserve">Product 17</t>
  </si>
  <si>
    <t xml:space="preserve">Product 18</t>
  </si>
  <si>
    <t xml:space="preserve">Product 19</t>
  </si>
  <si>
    <t xml:space="preserve">Product 20</t>
  </si>
  <si>
    <t xml:space="preserve">Product 21</t>
  </si>
  <si>
    <t xml:space="preserve">Product 22</t>
  </si>
  <si>
    <t xml:space="preserve">Product 23</t>
  </si>
  <si>
    <t xml:space="preserve">Product 24</t>
  </si>
  <si>
    <t xml:space="preserve">Product 25</t>
  </si>
  <si>
    <t xml:space="preserve">Product 26</t>
  </si>
  <si>
    <t xml:space="preserve">Product 27</t>
  </si>
  <si>
    <t xml:space="preserve">Product 28</t>
  </si>
  <si>
    <t xml:space="preserve">Product 29</t>
  </si>
  <si>
    <t xml:space="preserve">Product 30</t>
  </si>
  <si>
    <t xml:space="preserve">Product 31</t>
  </si>
  <si>
    <t xml:space="preserve">Product 32</t>
  </si>
  <si>
    <t xml:space="preserve">Product 33</t>
  </si>
  <si>
    <t xml:space="preserve">Product 34</t>
  </si>
  <si>
    <t xml:space="preserve">Product 35</t>
  </si>
  <si>
    <t xml:space="preserve">Product 36</t>
  </si>
  <si>
    <t xml:space="preserve">Product 37</t>
  </si>
  <si>
    <t xml:space="preserve">Product 38</t>
  </si>
  <si>
    <t xml:space="preserve">Product 39</t>
  </si>
  <si>
    <t xml:space="preserve">Product 40</t>
  </si>
  <si>
    <t xml:space="preserve">Product 41</t>
  </si>
  <si>
    <t xml:space="preserve">Product 42</t>
  </si>
  <si>
    <t xml:space="preserve">Product 43</t>
  </si>
  <si>
    <t xml:space="preserve">Product 44</t>
  </si>
  <si>
    <t xml:space="preserve">Product 45</t>
  </si>
  <si>
    <t xml:space="preserve">Product 46</t>
  </si>
  <si>
    <t xml:space="preserve">Product 47</t>
  </si>
  <si>
    <t xml:space="preserve">Product 48</t>
  </si>
  <si>
    <t xml:space="preserve">Product 49</t>
  </si>
  <si>
    <t xml:space="preserve">Product 50</t>
  </si>
  <si>
    <t xml:space="preserve">  PORTFOLIO BREAK-EVEN  ·  Multi-SKU businesses</t>
  </si>
  <si>
    <t xml:space="preserve">Products with Price Entered</t>
  </si>
  <si>
    <t xml:space="preserve">Total Monthly Fixed Costs (£)</t>
  </si>
  <si>
    <t xml:space="preserve">Blended Average Selling Price (£)</t>
  </si>
  <si>
    <t xml:space="preserve">Blended Variable Cost per Unit (£)</t>
  </si>
  <si>
    <t xml:space="preserve">Blended Contribution per Unit (£)</t>
  </si>
  <si>
    <t xml:space="preserve">Portfolio Break-Even Units (total)</t>
  </si>
  <si>
    <t xml:space="preserve">Portfolio Break-Even Revenue (£)</t>
  </si>
  <si>
    <t xml:space="preserve">Blended Break-Even Units (helper)</t>
  </si>
  <si>
    <t xml:space="preserve">LumixAI  ·  REVENUE PLANNER</t>
  </si>
  <si>
    <t xml:space="preserve">Portfolio-level revenue and profit planning  ·  Selling prices EXCLUDING VAT</t>
  </si>
  <si>
    <t xml:space="preserve">  PLANNING ASSUMPTIONS  (enter your targets in BLUE cells)</t>
  </si>
  <si>
    <t xml:space="preserve">Monthly Fixed Costs (£)</t>
  </si>
  <si>
    <t xml:space="preserve">Auto from Cost Input</t>
  </si>
  <si>
    <t xml:space="preserve">Variable Cost per Unit (£)</t>
  </si>
  <si>
    <t xml:space="preserve">Your blended avg price</t>
  </si>
  <si>
    <t xml:space="preserve">Target Monthly Profit (£)</t>
  </si>
  <si>
    <t xml:space="preserve">Enter your desired monthly profit target</t>
  </si>
  <si>
    <t xml:space="preserve">Expected Monthly Units Sold (all SKUs)</t>
  </si>
  <si>
    <t xml:space="preserve">Total units across ALL products per month</t>
  </si>
  <si>
    <t xml:space="preserve">  CALCULATED OUTPUTS</t>
  </si>
  <si>
    <t xml:space="preserve">Portfolio Break-Even Units (all SKUs)</t>
  </si>
  <si>
    <t xml:space="preserve">Total Units for Target Profit</t>
  </si>
  <si>
    <t xml:space="preserve">Portfolio Revenue for Target Profit (£)</t>
  </si>
  <si>
    <t xml:space="preserve">Forecast Portfolio Revenue (£)</t>
  </si>
  <si>
    <t xml:space="preserve">Forecast Portfolio Profit / (Loss) (£)</t>
  </si>
  <si>
    <t xml:space="preserve">Margin of Safety (units)</t>
  </si>
  <si>
    <t xml:space="preserve">Margin of Safety (%)</t>
  </si>
  <si>
    <t xml:space="preserve">LumixAI  ·  CASH FLOW FORECAST  ·  12-Month Rolling</t>
  </si>
  <si>
    <t xml:space="preserve">Enter cash in and out each month  ·  VAT NOTE: If VAT registered, VAT collected is NOT your money</t>
  </si>
  <si>
    <t xml:space="preserve">A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</si>
  <si>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</si>
  <si>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</si>
  <si>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</si>
  <si>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</si>
  <si>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</si>
  <si>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</si>
  <si>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</si>
  <si>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</si>
  <si>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</si>
  <si>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</si>
  <si>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</si>
  <si>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</si>
  <si>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 / AVG</t>
  </si>
  <si>
    <t xml:space="preserve">Opening Cash Balance (£)</t>
  </si>
  <si>
    <t xml:space="preserve">  CASH INFLOWS</t>
  </si>
  <si>
    <t xml:space="preserve">Sales Revenue</t>
  </si>
  <si>
    <t xml:space="preserve">Other Income</t>
  </si>
  <si>
    <t xml:space="preserve">VAT Received / Refund</t>
  </si>
  <si>
    <t xml:space="preserve">Loan / Finance Received</t>
  </si>
  <si>
    <t xml:space="preserve">TOTAL INFLOWS (£)</t>
  </si>
  <si>
    <t xml:space="preserve">  CASH OUTFLOWS</t>
  </si>
  <si>
    <t xml:space="preserve">Fixed Costs (auto)</t>
  </si>
  <si>
    <t xml:space="preserve">Variable Costs</t>
  </si>
  <si>
    <t xml:space="preserve">VAT Paid</t>
  </si>
  <si>
    <t xml:space="preserve">Loan Repayments</t>
  </si>
  <si>
    <t xml:space="preserve">Capital Expenditure</t>
  </si>
  <si>
    <t xml:space="preserve">Staff (Salaries)</t>
  </si>
  <si>
    <t xml:space="preserve">Corporation Tax</t>
  </si>
  <si>
    <t xml:space="preserve">TOTAL OUTFLOWS (£)</t>
  </si>
  <si>
    <t xml:space="preserve">NET MONTHLY CASH FLOW (£)</t>
  </si>
  <si>
    <t xml:space="preserve">CLOSING CASH BALANCE (£)</t>
  </si>
  <si>
    <t xml:space="preserve">LumixAI  ·  MONTHLY PROFIT &amp; LOSS  ·  Management Accounts</t>
  </si>
  <si>
    <t xml:space="preserve">Enter actual monthly figures  ·  All figures EXCLUDING VAT</t>
  </si>
  <si>
    <t xml:space="preserve">This Month (£)</t>
  </si>
  <si>
    <t xml:space="preserve">% of Revenue</t>
  </si>
  <si>
    <t xml:space="preserve">Prior Month (£)</t>
  </si>
  <si>
    <t xml:space="preserve">Variance (£)</t>
  </si>
  <si>
    <t xml:space="preserve">REVENUE</t>
  </si>
  <si>
    <t xml:space="preserve">  Sales Revenue</t>
  </si>
  <si>
    <t xml:space="preserve">  Other Income</t>
  </si>
  <si>
    <t xml:space="preserve">TOTAL REVENUE</t>
  </si>
  <si>
    <t xml:space="preserve">COST OF GOODS SOLD</t>
  </si>
  <si>
    <t xml:space="preserve">  Variable Costs (auto)  [units x '💰 Cost Input'!D26]</t>
  </si>
  <si>
    <t xml:space="preserve">  Other Direct Costs</t>
  </si>
  <si>
    <t xml:space="preserve">GROSS PROFIT</t>
  </si>
  <si>
    <t xml:space="preserve">Gross Margin %</t>
  </si>
  <si>
    <t xml:space="preserve">OPERATING EXPENSES</t>
  </si>
  <si>
    <t xml:space="preserve">  Fixed Costs (auto)  ['💰 Cost Input'!D15]</t>
  </si>
  <si>
    <t xml:space="preserve">  Marketing Spend</t>
  </si>
  <si>
    <t xml:space="preserve">  Other Overheads</t>
  </si>
  <si>
    <t xml:space="preserve">TOTAL OPERATING EXPENSES</t>
  </si>
  <si>
    <t xml:space="preserve">NET PROFIT / (LOSS)</t>
  </si>
  <si>
    <t xml:space="preserve">Monthly Units Sold (assumption)</t>
  </si>
  <si>
    <t xml:space="preserve">← Enter actual units to auto-calc variable costs</t>
  </si>
  <si>
    <t xml:space="preserve">LumixAI  ·  MONTHLY SALES FORECAST</t>
  </si>
  <si>
    <t xml:space="preserve">Units and revenue by product  ·  Auto-calculated from Product Input  ·  Selling prices EXCLUDING VAT</t>
  </si>
  <si>
    <t xml:space="preserve">Annual
Forecast Units</t>
  </si>
  <si>
    <t xml:space="preserve">Annual Forecast
Revenue (£)</t>
  </si>
  <si>
    <t xml:space="preserve">  MONTHLY PORTFOLIO SUMMARY  (units &amp; revenue)</t>
  </si>
  <si>
    <t xml:space="preserve">Month</t>
  </si>
  <si>
    <t xml:space="preserve">Forecast Units</t>
  </si>
  <si>
    <t xml:space="preserve">Forecast Revenue (£)</t>
  </si>
  <si>
    <t xml:space="preserve">Revenue Share %</t>
  </si>
  <si>
    <t xml:space="preserve">vs. Monthly Avg</t>
  </si>
  <si>
    <t xml:space="preserve">ANNUAL TOTAL</t>
  </si>
  <si>
    <t xml:space="preserve">LumixAI  ·  KPI TRACKER  ·  Monthly Actuals vs Targets</t>
  </si>
  <si>
    <t xml:space="preserve">Log actual results each month  ·  RAG status calculated automatically  ·  All figures EXCLUDING VAT</t>
  </si>
  <si>
    <t xml:space="preserve">|  VAT NOTE: All figures EXCLUDING VAT</t>
  </si>
  <si>
    <t xml:space="preserve">KPI</t>
  </si>
  <si>
    <t xml:space="preserve">Target</t>
  </si>
  <si>
    <t xml:space="preserve">Monthly Revenue (£)</t>
  </si>
  <si>
    <t xml:space="preserve">Units Sold</t>
  </si>
  <si>
    <t xml:space="preserve">Gross Profit (£)</t>
  </si>
  <si>
    <t xml:space="preserve">Gross Margin (%)</t>
  </si>
  <si>
    <t xml:space="preserve">Net Profit (£)</t>
  </si>
  <si>
    <t xml:space="preserve">Net Margin (%)</t>
  </si>
  <si>
    <t xml:space="preserve">Break-Even Units (actual)</t>
  </si>
  <si>
    <t xml:space="preserve">Customer Acquisition Cost (£)</t>
  </si>
  <si>
    <t xml:space="preserve">Average Order Value (£)</t>
  </si>
  <si>
    <t xml:space="preserve">Cash Balance (£)</t>
  </si>
  <si>
    <t xml:space="preserve">Debtor Days</t>
  </si>
  <si>
    <t xml:space="preserve">Stock Turn (x)</t>
  </si>
  <si>
    <t xml:space="preserve">LumixAI  ·  PORTFOLIO PROFIT ANALYSER</t>
  </si>
  <si>
    <t xml:space="preserve">True net profit per product after all costs  ·  ABC classification  ·  All figures EXCLUDING VAT</t>
  </si>
  <si>
    <t xml:space="preserve">⚙  CONTROL ASSUMPTIONS  (change these to update all calculations)</t>
  </si>
  <si>
    <t xml:space="preserve">Target Margin %</t>
  </si>
  <si>
    <t xml:space="preserve">Import Admin %</t>
  </si>
  <si>
    <t xml:space="preserve">Low Margin Floor</t>
  </si>
  <si>
    <t xml:space="preserve">FX Stress Uplift</t>
  </si>
  <si>
    <t xml:space="preserve">Payment Fees %</t>
  </si>
  <si>
    <t xml:space="preserve">  FX Method: Purchase Cost (FCY) ÷ FX Rate (foreign currency per £1) = Purchase Cost (£). Example: $45 ÷ 1.30 = £34.62. UK products: set FX Rate = 1.</t>
  </si>
  <si>
    <t xml:space="preserve">INPUT DATA</t>
  </si>
  <si>
    <t xml:space="preserve">Product Name</t>
  </si>
  <si>
    <t xml:space="preserve">Supply Type</t>
  </si>
  <si>
    <t xml:space="preserve">Source Currency</t>
  </si>
  <si>
    <t xml:space="preserve">Purchase Cost (FCY/unit)</t>
  </si>
  <si>
    <t xml:space="preserve">FX Rate
(FCY per £1)</t>
  </si>
  <si>
    <t xml:space="preserve">Purchase Cost
(£/unit)</t>
  </si>
  <si>
    <t xml:space="preserve">Freight Cost £</t>
  </si>
  <si>
    <t xml:space="preserve">Units Per Shipment</t>
  </si>
  <si>
    <t xml:space="preserve">Freight
(£/unit)</t>
  </si>
  <si>
    <t xml:space="preserve">Duty
%</t>
  </si>
  <si>
    <t xml:space="preserve">Duty
(£/unit)</t>
  </si>
  <si>
    <t xml:space="preserve">Import Admin
(£/unit)</t>
  </si>
  <si>
    <t xml:space="preserve">UK Landed Cost
(£/unit)</t>
  </si>
  <si>
    <t xml:space="preserve">Selling Price
(£/unit)</t>
  </si>
  <si>
    <t xml:space="preserve">Marketing
(£/unit)</t>
  </si>
  <si>
    <t xml:space="preserve">Payment Fees
(£/unit)</t>
  </si>
  <si>
    <t xml:space="preserve">Storage &amp;
Distrib (£/unit)</t>
  </si>
  <si>
    <t xml:space="preserve">Monthly
Units</t>
  </si>
  <si>
    <t xml:space="preserve">Gross Margin
(£/unit)</t>
  </si>
  <si>
    <t xml:space="preserve">Net Profit
(£/unit)</t>
  </si>
  <si>
    <t xml:space="preserve">Profit
Margin %</t>
  </si>
  <si>
    <t xml:space="preserve">Monthly
Profit (£)</t>
  </si>
  <si>
    <t xml:space="preserve">Profitability
Score (0-100)</t>
  </si>
  <si>
    <t xml:space="preserve">Recommended
Price (£)</t>
  </si>
  <si>
    <t xml:space="preserve">Price
Gap (£)</t>
  </si>
  <si>
    <t xml:space="preserve">Potential Monthly
Gain (£)</t>
  </si>
  <si>
    <t xml:space="preserve">Stress FX
(+5%)</t>
  </si>
  <si>
    <t xml:space="preserve">Stress Net
Profit (£)</t>
  </si>
  <si>
    <t xml:space="preserve">FX Profit
Risk (£)</t>
  </si>
  <si>
    <t xml:space="preserve">Profit
Contrib %</t>
  </si>
  <si>
    <t xml:space="preserve">ABC
Category</t>
  </si>
  <si>
    <t xml:space="preserve">Launch Date</t>
  </si>
  <si>
    <t xml:space="preserve">Product Age
(Months)</t>
  </si>
  <si>
    <t xml:space="preserve">Lifecycle
Stage</t>
  </si>
  <si>
    <t xml:space="preserve">Commercial
Action</t>
  </si>
  <si>
    <t xml:space="preserve">USD</t>
  </si>
  <si>
    <t xml:space="preserve">2023-02-01</t>
  </si>
  <si>
    <t xml:space="preserve">2024-07-01</t>
  </si>
  <si>
    <t xml:space="preserve">EUR</t>
  </si>
  <si>
    <t xml:space="preserve">2023-01-01</t>
  </si>
  <si>
    <t xml:space="preserve">2021-06-01</t>
  </si>
  <si>
    <t xml:space="preserve">UK</t>
  </si>
  <si>
    <t xml:space="preserve">GBP</t>
  </si>
  <si>
    <t xml:space="preserve">2025-08-01</t>
  </si>
  <si>
    <t xml:space="preserve">2024-11-01</t>
  </si>
  <si>
    <t xml:space="preserve">2024-11-02</t>
  </si>
  <si>
    <t xml:space="preserve">2024-11-03</t>
  </si>
  <si>
    <t xml:space="preserve">2024-11-04</t>
  </si>
  <si>
    <t xml:space="preserve">2024-11-05</t>
  </si>
  <si>
    <t xml:space="preserve">Side Table</t>
  </si>
  <si>
    <t xml:space="preserve">2024-11-06</t>
  </si>
  <si>
    <t xml:space="preserve">Accent Chair</t>
  </si>
  <si>
    <t xml:space="preserve">2024-11-07</t>
  </si>
  <si>
    <t xml:space="preserve">Shoe Rack</t>
  </si>
  <si>
    <t xml:space="preserve">2024-11-08</t>
  </si>
  <si>
    <t xml:space="preserve">Plant Stand</t>
  </si>
  <si>
    <t xml:space="preserve">2024-11-09</t>
  </si>
  <si>
    <t xml:space="preserve">Wardrobe</t>
  </si>
  <si>
    <t xml:space="preserve">2024-11-10</t>
  </si>
  <si>
    <t xml:space="preserve">2024-11-11</t>
  </si>
  <si>
    <t xml:space="preserve">2024-11-12</t>
  </si>
  <si>
    <t xml:space="preserve">2024-11-13</t>
  </si>
  <si>
    <t xml:space="preserve">2024-11-14</t>
  </si>
  <si>
    <t xml:space="preserve">2024-11-15</t>
  </si>
  <si>
    <t xml:space="preserve">2024-11-16</t>
  </si>
  <si>
    <t xml:space="preserve">2024-11-17</t>
  </si>
  <si>
    <t xml:space="preserve">2024-11-18</t>
  </si>
  <si>
    <t xml:space="preserve">2024-11-19</t>
  </si>
  <si>
    <t xml:space="preserve">2024-11-20</t>
  </si>
  <si>
    <t xml:space="preserve">TOTALS / AVERAGES</t>
  </si>
  <si>
    <t xml:space="preserve">LumixAI  ·  PROFIT DASHBOARD</t>
  </si>
  <si>
    <t xml:space="preserve">All figures auto-calculated from Profit Analyser  ·  All figures EXCLUDING VAT</t>
  </si>
  <si>
    <t xml:space="preserve">Products Analysed</t>
  </si>
  <si>
    <t xml:space="preserve">Total Monthly Profit</t>
  </si>
  <si>
    <t xml:space="preserve">Average Margin</t>
  </si>
  <si>
    <t xml:space="preserve">Loss-Making Products</t>
  </si>
  <si>
    <t xml:space="preserve">Potential Monthly Gain</t>
  </si>
  <si>
    <t xml:space="preserve">FX Risk Products</t>
  </si>
  <si>
    <t xml:space="preserve">  RANKED PRODUCTS  ·  Top by profit vs worst performers</t>
  </si>
  <si>
    <t xml:space="preserve">Rank</t>
  </si>
  <si>
    <t xml:space="preserve">Monthly Profit (£)</t>
  </si>
  <si>
    <t xml:space="preserve">Margin %</t>
  </si>
  <si>
    <t xml:space="preserve">ABC</t>
  </si>
  <si>
    <t xml:space="preserve">Action</t>
  </si>
  <si>
    <t xml:space="preserve">LumixAI  ·  SALES FORECAST &amp; INVENTORY PLANNER  ·  Product Input</t>
  </si>
  <si>
    <t xml:space="preserve">Enter historical monthly units OR forecast base  ·  Selling prices EXCLUDING VAT</t>
  </si>
  <si>
    <t xml:space="preserve">🔵 Blue = your input    ⚫ Black = formula    🟢 Green = cross-sheet link  | Forecast Method: HIST = history | BASE = manual base | VAT NOTE: All figures EXCLUDING VAT</t>
  </si>
  <si>
    <t xml:space="preserve">PRODUCT &amp; PRICE</t>
  </si>
  <si>
    <t xml:space="preserve">Selling
Price (£)</t>
  </si>
  <si>
    <t xml:space="preserve">Jan
Units</t>
  </si>
  <si>
    <t xml:space="preserve">Feb
Units</t>
  </si>
  <si>
    <t xml:space="preserve">Mar
Units</t>
  </si>
  <si>
    <t xml:space="preserve">Apr
Units</t>
  </si>
  <si>
    <t xml:space="preserve">May
Units</t>
  </si>
  <si>
    <t xml:space="preserve">Jun
Units</t>
  </si>
  <si>
    <t xml:space="preserve">Jul
Units</t>
  </si>
  <si>
    <t xml:space="preserve">Aug
Units</t>
  </si>
  <si>
    <t xml:space="preserve">Sep
Units</t>
  </si>
  <si>
    <t xml:space="preserve">Oct
Units</t>
  </si>
  <si>
    <t xml:space="preserve">Nov
Units</t>
  </si>
  <si>
    <t xml:space="preserve">Dec
Units</t>
  </si>
  <si>
    <t xml:space="preserve">Growth
Trend %</t>
  </si>
  <si>
    <t xml:space="preserve">Seasonality
Factor</t>
  </si>
  <si>
    <t xml:space="preserve">Promo
Uplift %</t>
  </si>
  <si>
    <t xml:space="preserve">Annual
Historic Units</t>
  </si>
  <si>
    <t xml:space="preserve">Avg Monthly
Units</t>
  </si>
  <si>
    <t xml:space="preserve">Forecast
Base Units</t>
  </si>
  <si>
    <t xml:space="preserve">Forecast
Method</t>
  </si>
  <si>
    <t xml:space="preserve">Current
Stock</t>
  </si>
  <si>
    <t xml:space="preserve">Lead Time
(weeks)</t>
  </si>
  <si>
    <t xml:space="preserve">Safety Stock
(weeks)</t>
  </si>
  <si>
    <t xml:space="preserve">Suggested
Order Qty</t>
  </si>
  <si>
    <t xml:space="preserve">Stock
Status</t>
  </si>
  <si>
    <t xml:space="preserve">Unit Cost
(£)</t>
  </si>
  <si>
    <t xml:space="preserve">Stock Value
(£)</t>
  </si>
  <si>
    <t xml:space="preserve">Product 1</t>
  </si>
  <si>
    <t xml:space="preserve">Product 2</t>
  </si>
  <si>
    <t xml:space="preserve">Product 3</t>
  </si>
  <si>
    <t xml:space="preserve">Product 4</t>
  </si>
  <si>
    <t xml:space="preserve">Product 5</t>
  </si>
  <si>
    <t xml:space="preserve">Product 6</t>
  </si>
  <si>
    <t xml:space="preserve">Product 7</t>
  </si>
  <si>
    <t xml:space="preserve">Product 8</t>
  </si>
  <si>
    <t xml:space="preserve">Product 9</t>
  </si>
  <si>
    <t xml:space="preserve">Product 10</t>
  </si>
  <si>
    <t xml:space="preserve">PORTFOLIO TOTALS</t>
  </si>
  <si>
    <t xml:space="preserve">LumixAI  ·  INVENTORY PLANNER</t>
  </si>
  <si>
    <t xml:space="preserve">Reorder points, order quantities, and stock cover  ·  Auto-calculated from Product Input</t>
  </si>
  <si>
    <t xml:space="preserve">Current Stock
(units)</t>
  </si>
  <si>
    <t xml:space="preserve">Avg Weekly
Demand</t>
  </si>
  <si>
    <t xml:space="preserve">Reorder
Point (units)</t>
  </si>
  <si>
    <t xml:space="preserve">Weeks
Cover</t>
  </si>
  <si>
    <t xml:space="preserve">TOTAL / SUMMARY</t>
  </si>
  <si>
    <t xml:space="preserve">  💰  CASH TIED UP IN STOCK</t>
  </si>
  <si>
    <t xml:space="preserve">Total Cash Tied Up in Stock (£)</t>
  </si>
  <si>
    <t xml:space="preserve">LumixAI  ·  SALES FORECAST &amp; INVENTORY DASHBOARD</t>
  </si>
  <si>
    <t xml:space="preserve">All figures auto-calculated from Product Input  ·  All figures EXCLUDING VAT</t>
  </si>
  <si>
    <t xml:space="preserve">Products in Forecast</t>
  </si>
  <si>
    <t xml:space="preserve">Annual Forecast Units</t>
  </si>
  <si>
    <t xml:space="preserve">Annual Forecast Revenue</t>
  </si>
  <si>
    <t xml:space="preserve">Products with History</t>
  </si>
  <si>
    <t xml:space="preserve">Products Needing Order</t>
  </si>
  <si>
    <t xml:space="preserve">Low / Out of Stock</t>
  </si>
  <si>
    <t xml:space="preserve">  TOP 10 PRODUCTS  (by annual forecast revenue)</t>
  </si>
  <si>
    <t xml:space="preserve">Ann. Forecast Units</t>
  </si>
  <si>
    <t xml:space="preserve">Ann. Forecast Rev (£)</t>
  </si>
  <si>
    <t xml:space="preserve">Avg Price</t>
  </si>
  <si>
    <t xml:space="preserve">Method</t>
  </si>
  <si>
    <t xml:space="preserve">Share %</t>
  </si>
  <si>
    <t xml:space="preserve">vs. Avg</t>
  </si>
  <si>
    <t xml:space="preserve">LumixAI  ·  MARKETING ROI DASHBOARD</t>
  </si>
  <si>
    <t xml:space="preserve">All figures auto-calculated from Marketing Engine  ·  All figures EXCLUDING VAT</t>
  </si>
  <si>
    <t xml:space="preserve">Campaigns Tracked</t>
  </si>
  <si>
    <t xml:space="preserve">Total Revenue Generated</t>
  </si>
  <si>
    <t xml:space="preserve">Portfolio Net Profit</t>
  </si>
  <si>
    <t xml:space="preserve">Portfolio True ROI %</t>
  </si>
  <si>
    <t xml:space="preserve">Loss-Making Campaigns</t>
  </si>
  <si>
    <t xml:space="preserve">  TOP CAMPAIGNS  (by net profit)</t>
  </si>
  <si>
    <t xml:space="preserve">Campaign</t>
  </si>
  <si>
    <t xml:space="preserve">Channel</t>
  </si>
  <si>
    <t xml:space="preserve">ROAS</t>
  </si>
  <si>
    <t xml:space="preserve">Spend (£)</t>
  </si>
  <si>
    <t xml:space="preserve">  SPEND &amp; PERFORMANCE BY CHANNEL</t>
  </si>
  <si>
    <t xml:space="preserve">Total Spend (£)</t>
  </si>
  <si>
    <t xml:space="preserve">Total Revenue (£)</t>
  </si>
  <si>
    <t xml:space="preserve">True ROI %</t>
  </si>
  <si>
    <t xml:space="preserve">Campaigns</t>
  </si>
  <si>
    <t xml:space="preserve">Facebook Ads</t>
  </si>
  <si>
    <t xml:space="preserve">Google Ads (Search)</t>
  </si>
  <si>
    <t xml:space="preserve">Instagram Ads</t>
  </si>
  <si>
    <t xml:space="preserve">Email Marketing</t>
  </si>
  <si>
    <t xml:space="preserve">Trade Show / Exhibition</t>
  </si>
  <si>
    <t xml:space="preserve">LinkedIn Ads</t>
  </si>
  <si>
    <t xml:space="preserve">Leaflets / Flyers</t>
  </si>
  <si>
    <t xml:space="preserve">LumixAI  ·  MARKETING ROI &amp; COST ANALYSER</t>
  </si>
  <si>
    <t xml:space="preserve">Log every campaign  ·  ROI and ROAS calculate automatically  ·  All selling prices and revenue EXCLUDING VAT</t>
  </si>
  <si>
    <t xml:space="preserve">|  VAT NOTE: All revenue and profit figures EXCLUDING VAT</t>
  </si>
  <si>
    <t xml:space="preserve">⚙  ASSUMPTIONS PANEL</t>
  </si>
  <si>
    <t xml:space="preserve">Target ROI % (campaigns must exceed this)</t>
  </si>
  <si>
    <t xml:space="preserve">Gross Margin % (used for revenue to gross profit conversion)</t>
  </si>
  <si>
    <t xml:space="preserve">Campaign\nRef</t>
  </si>
  <si>
    <t xml:space="preserve">Campaign Name</t>
  </si>
  <si>
    <t xml:space="preserve">Start Date</t>
  </si>
  <si>
    <t xml:space="preserve">Leads
Generated</t>
  </si>
  <si>
    <t xml:space="preserve">Sales
Converted</t>
  </si>
  <si>
    <t xml:space="preserve">Revenue
Attributed (£)</t>
  </si>
  <si>
    <t xml:space="preserve">Avg Order
Value (£)</t>
  </si>
  <si>
    <t xml:space="preserve">Cost Per
Lead (£)</t>
  </si>
  <si>
    <t xml:space="preserve">Cost Per
Sale (£)</t>
  </si>
  <si>
    <t xml:space="preserve">Lead to Sale
%</t>
  </si>
  <si>
    <t xml:space="preserve">Conversion
Rate %</t>
  </si>
  <si>
    <t xml:space="preserve">Gross Profit
(£)</t>
  </si>
  <si>
    <t xml:space="preserve">Variable Costs
Attributed (£)</t>
  </si>
  <si>
    <t xml:space="preserve">Net Profit
(£)</t>
  </si>
  <si>
    <t xml:space="preserve">ROAS
(Revenue/Spend)</t>
  </si>
  <si>
    <t xml:space="preserve">True ROI %
(Net Profit/Spend)</t>
  </si>
  <si>
    <t xml:space="preserve">Contribution
% of Total</t>
  </si>
  <si>
    <t xml:space="preserve">Payback
Period (days)</t>
  </si>
  <si>
    <t xml:space="preserve">Campaign
Status</t>
  </si>
  <si>
    <t xml:space="preserve">Recommended
Action</t>
  </si>
  <si>
    <t xml:space="preserve">Spring Sale - Chairs</t>
  </si>
  <si>
    <t xml:space="preserve">2026-01-15</t>
  </si>
  <si>
    <t xml:space="preserve">Retargeting Jan</t>
  </si>
  <si>
    <t xml:space="preserve">2026-01-20</t>
  </si>
  <si>
    <t xml:space="preserve">Newsletter Promo</t>
  </si>
  <si>
    <t xml:space="preserve">2026-02-01</t>
  </si>
  <si>
    <t xml:space="preserve">New Range Launch</t>
  </si>
  <si>
    <t xml:space="preserve">2026-02-10</t>
  </si>
  <si>
    <t xml:space="preserve">Trade Fair Feb</t>
  </si>
  <si>
    <t xml:space="preserve">2026-02-15</t>
  </si>
  <si>
    <t xml:space="preserve">B2B Campaign</t>
  </si>
  <si>
    <t xml:space="preserve">2026-03-01</t>
  </si>
  <si>
    <t xml:space="preserve">Easter Promotion</t>
  </si>
  <si>
    <t xml:space="preserve">2026-03-15</t>
  </si>
  <si>
    <t xml:space="preserve">Brand Awareness</t>
  </si>
  <si>
    <t xml:space="preserve">2026-03-20</t>
  </si>
  <si>
    <t xml:space="preserve">LumixAI  ·  PROFIT ANALYSER  ·  HOW TO GUIDE</t>
  </si>
  <si>
    <t xml:space="preserve">Read this before entering data  ·  All figures EXCLUDING VAT</t>
  </si>
  <si>
    <t xml:space="preserve">Step 1 – Assumptions</t>
  </si>
  <si>
    <t xml:space="preserve">Go to Profit Analyzer. Review rows 5-9. Adjust Target Margin, floors and FX stress to match your business.</t>
  </si>
  <si>
    <t xml:space="preserve">Step 2 – Enter Products</t>
  </si>
  <si>
    <t xml:space="preserve">Fill in columns A–P for each product: name, supply type, currency, purchase cost, FX rate, freight, duty %, selling price, marketing, storage and monthly units.</t>
  </si>
  <si>
    <t xml:space="preserve">Step 3 – Launch Dates</t>
  </si>
  <si>
    <t xml:space="preserve">Enter a launch date in column AF for any product to activate lifecycle staging. Leave blank for no lifecycle.</t>
  </si>
  <si>
    <t xml:space="preserve">Step 4 – Read Outputs</t>
  </si>
  <si>
    <t xml:space="preserve">Columns F onwards are fully automatic. Review Net Profit, Margin %, ABC Category, Lifecycle Stage and Commercial Action.</t>
  </si>
  <si>
    <t xml:space="preserve">Step 5 – Dashboard</t>
  </si>
  <si>
    <t xml:space="preserve">Switch to PA Dashboard for portfolio overview, top 10 drivers, margin mix, ABC summary.</t>
  </si>
  <si>
    <t xml:space="preserve">KEY DEFINITIONS</t>
  </si>
  <si>
    <t xml:space="preserve">Purchase Cost (£/unit)</t>
  </si>
  <si>
    <t xml:space="preserve">Foreign cost divided by FX rate. UK products: set FX rate to 1. Example: $100 ÷ 1.30 = £76.92.</t>
  </si>
  <si>
    <t xml:space="preserve">UK Landed Cost (£/unit)</t>
  </si>
  <si>
    <t xml:space="preserve">True cost per unit including purchase cost, freight, duty and import admin.</t>
  </si>
  <si>
    <t xml:space="preserve">Net Profit (£/unit)</t>
  </si>
  <si>
    <t xml:space="preserve">Selling price minus ALL costs: landed cost + marketing + payment fees + storage.</t>
  </si>
  <si>
    <t xml:space="preserve">Profit Margin %</t>
  </si>
  <si>
    <t xml:space="preserve">Net profit divided by selling price. Compare to your Target Margin assumption.</t>
  </si>
  <si>
    <t xml:space="preserve">ABC Category</t>
  </si>
  <si>
    <t xml:space="preserve">A = top 20% of products by monthly profit. B = next 30%. C = bottom 50%.</t>
  </si>
  <si>
    <t xml:space="preserve">Lifecycle Stage</t>
  </si>
  <si>
    <t xml:space="preserve">Launch &lt; 6 months. Growth 6-17 months. Mature 18-47 months. Decline 48+ months.</t>
  </si>
  <si>
    <t xml:space="preserve">TIPS</t>
  </si>
  <si>
    <t xml:space="preserve">FX rate direction</t>
  </si>
  <si>
    <t xml:space="preserve">FX rate must be FOREIGN CURRENCY per £1. E.g. if £1 = $1.30, enter 1.30 for USD products.</t>
  </si>
  <si>
    <t xml:space="preserve">UK products</t>
  </si>
  <si>
    <t xml:space="preserve">Set Source Currency = GBP and FX Rate = 1. Duty will auto-calculate as zero.</t>
  </si>
  <si>
    <t xml:space="preserve">Disclaimer</t>
  </si>
  <si>
    <t xml:space="preserve">For management planning only. Consult a qualified accountant for statutory reporting and tax.</t>
  </si>
  <si>
    <t xml:space="preserve">LumixAI  ·  lumixai.co.uk  ·  hello@lumixai.co.uk</t>
  </si>
  <si>
    <t xml:space="preserve">LumixAI  ·  COMPLETE COMMERCIAL SUITE  ·  INSTRUCTIONS</t>
  </si>
  <si>
    <t xml:space="preserve">Read this first  ·  All figures EXCLUDING VAT throughout this workbook</t>
  </si>
  <si>
    <t xml:space="preserve">GETTING STARTED</t>
  </si>
  <si>
    <t xml:space="preserve">Enter data in this order: 1. Cost Input → 2. Break-Even → 3. Revenue Planner → 4. Cash Flow → 5. P&amp;L → 6. KPI Tracker → 7. Profit Analyser → 8. Product Input → 9. Marketing Engine → 10. Check Dashboard.</t>
  </si>
  <si>
    <t xml:space="preserve">VAT</t>
  </si>
  <si>
    <t xml:space="preserve">If VAT registered: enter ALL figures EXCLUDING VAT (use net figures from invoices). If not registered (turnover under £90,000): enter your actual prices as-is.</t>
  </si>
  <si>
    <t xml:space="preserve">COLOUR CODING</t>
  </si>
  <si>
    <t xml:space="preserve">Blue cells = your inputs (only type here). Black text = auto-calculated formulas (do not overwrite). Green = linked from another sheet. Do not delete formula cells.</t>
  </si>
  <si>
    <t xml:space="preserve">DUMMY DATA</t>
  </si>
  <si>
    <t xml:space="preserve">The workbook comes pre-loaded with example data showing a variety of outcomes. Replace blue cells with your own figures. All formulas update automatically.</t>
  </si>
  <si>
    <t xml:space="preserve">PRODUCT NAMING</t>
  </si>
  <si>
    <t xml:space="preserve">Use consistent product names across all sheets. If you call it 'Red Widget 250ml' in Profit Analyser, use the same name in Sales Forecaster and Break-Even.</t>
  </si>
  <si>
    <t xml:space="preserve">ADDING PRODUCTS</t>
  </si>
  <si>
    <t xml:space="preserve">In each sheet, scroll to the first empty row after the last product and enter data in the blue columns. Formulas extend automatically.</t>
  </si>
  <si>
    <t xml:space="preserve">MONTHLY UPDATE ROUTINE</t>
  </si>
  <si>
    <t xml:space="preserve">P&amp;L: enter this month's actuals. KPI Tracker: log actuals. Cash Flow: verify opening balance = last month's closing balance. Review Dashboard.</t>
  </si>
  <si>
    <t xml:space="preserve">WHAT IF A FORMULA SHOWS AN ERROR?</t>
  </si>
  <si>
    <t xml:space="preserve">Press Ctrl+Z to undo. Never delete rows or columns in formula areas (black text cells). These references connect all 10 modules.</t>
  </si>
  <si>
    <t xml:space="preserve">SUPPORT</t>
  </si>
  <si>
    <t xml:space="preserve">Questions? Email hello@lumixai.co.uk. More tools and guides at lumixai.co.uk.</t>
  </si>
  <si>
    <t xml:space="preserve">LumixAI  ·  lumixai.co.uk  ·  hello@lumixai.co.uk  ·  Complete Commercial Suite v1.0  ·  £79.99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</si>
</sst>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0.0%"/>
    <numFmt numFmtId="167" formatCode="#,##0.00"/>
    <numFmt numFmtId="168" formatCode="0"/>
    <numFmt numFmtId="169" formatCode="0.0"/>
    <numFmt numFmtId="170" formatCode="0.00"/>
    <numFmt numFmtId="171" formatCode="General"/>
    <numFmt numFmtId="172" formatCode="yyyy\-mm\-dd"/>
    <numFmt numFmtId="173" formatCode="#,##0.0"/>
    <numFmt numFmtId="174" formatCode="0.00\x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C8A0"/>
      <name val="Arial"/>
      <family val="0"/>
      <charset val="1"/>
    </font>
    <font>
      <sz val="10"/>
      <color rgb="FF888888"/>
      <name val="Arial"/>
      <family val="0"/>
      <charset val="1"/>
    </font>
    <font>
      <b val="true"/>
      <sz val="26"/>
      <color rgb="FFFFFFFF"/>
      <name val="Arial"/>
      <family val="0"/>
      <charset val="1"/>
    </font>
    <font>
      <sz val="11"/>
      <color rgb="FFAAAAAA"/>
      <name val="Arial"/>
      <family val="0"/>
      <charset val="1"/>
    </font>
    <font>
      <b val="true"/>
      <sz val="9"/>
      <color rgb="FF1FC8A0"/>
      <name val="Arial"/>
      <family val="0"/>
      <charset val="1"/>
    </font>
    <font>
      <sz val="9"/>
      <color rgb="FF0F0F0F"/>
      <name val="Arial"/>
      <family val="0"/>
      <charset val="1"/>
    </font>
    <font>
      <sz val="10"/>
      <color rgb="FF0F0F0F"/>
      <name val="Arial"/>
      <family val="0"/>
      <charset val="1"/>
    </font>
    <font>
      <i val="true"/>
      <sz val="9"/>
      <color rgb="FF7A7A7A"/>
      <name val="Arial"/>
      <family val="0"/>
      <charset val="1"/>
    </font>
    <font>
      <b val="true"/>
      <sz val="11"/>
      <color rgb="FF1FC8A0"/>
      <name val="Arial"/>
      <family val="0"/>
      <charset val="1"/>
    </font>
    <font>
      <i val="true"/>
      <sz val="8"/>
      <color rgb="FF7A7A7A"/>
      <name val="Arial"/>
      <family val="0"/>
      <charset val="1"/>
    </font>
    <font>
      <sz val="8"/>
      <color rgb="FF7A7A7A"/>
      <name val="Arial"/>
      <family val="0"/>
      <charset val="1"/>
    </font>
    <font>
      <b val="true"/>
      <sz val="11"/>
      <color rgb="FF0B1E2D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0"/>
      <color rgb="FF0B1E2D"/>
      <name val="Arial"/>
      <family val="0"/>
      <charset val="1"/>
    </font>
    <font>
      <b val="true"/>
      <sz val="12"/>
      <color rgb="FF0B1E2D"/>
      <name val="Arial"/>
      <family val="0"/>
      <charset val="1"/>
    </font>
    <font>
      <b val="true"/>
      <sz val="8"/>
      <color rgb="FFA05C00"/>
      <name val="Arial"/>
      <family val="0"/>
      <charset val="1"/>
    </font>
    <font>
      <b val="true"/>
      <sz val="9"/>
      <color rgb="FF0B1E2D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1FC8A0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7A7A7A"/>
      <name val="Arial"/>
      <family val="0"/>
      <charset val="1"/>
    </font>
    <font>
      <b val="true"/>
      <sz val="9"/>
      <color rgb="FFA05C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8"/>
      <color rgb="FF0F0F0F"/>
      <name val="Arial"/>
      <family val="0"/>
      <charset val="1"/>
    </font>
    <font>
      <b val="true"/>
      <sz val="7"/>
      <color rgb="FFFFFFFF"/>
      <name val="Arial"/>
      <family val="0"/>
      <charset val="1"/>
    </font>
    <font>
      <sz val="8"/>
      <color rgb="FF0B1E2D"/>
      <name val="Arial"/>
      <family val="0"/>
      <charset val="1"/>
    </font>
    <font>
      <b val="true"/>
      <sz val="8"/>
      <color rgb="FF0B1E2D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8"/>
      <color rgb="FF1FC8A0"/>
      <name val="Arial"/>
      <family val="0"/>
      <charset val="1"/>
    </font>
    <font>
      <b val="true"/>
      <sz val="14"/>
      <color rgb="FF0B1E2D"/>
      <name val="Arial"/>
      <family val="0"/>
      <charset val="1"/>
    </font>
    <font>
      <b val="true"/>
      <sz val="9"/>
      <color rgb="FF0F0F0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B1E2D"/>
        <bgColor rgb="FF0F0F0F"/>
      </patternFill>
    </fill>
    <fill>
      <patternFill patternType="solid">
        <fgColor rgb="FF1FC8A0"/>
        <bgColor rgb="FF00CCFF"/>
      </patternFill>
    </fill>
    <fill>
      <patternFill patternType="solid">
        <fgColor rgb="FFF5F4F0"/>
        <bgColor rgb="FFE8F5EE"/>
      </patternFill>
    </fill>
    <fill>
      <patternFill patternType="solid">
        <fgColor rgb="FFFFFFFF"/>
        <bgColor rgb="FFF5F4F0"/>
      </patternFill>
    </fill>
    <fill>
      <patternFill patternType="solid">
        <fgColor rgb="FFFEF3DC"/>
        <bgColor rgb="FFF5F4F0"/>
      </patternFill>
    </fill>
    <fill>
      <patternFill patternType="solid">
        <fgColor rgb="FFE8F0FE"/>
        <bgColor rgb="FFE8F5EE"/>
      </patternFill>
    </fill>
    <fill>
      <patternFill patternType="solid">
        <fgColor rgb="FFE8F5EE"/>
        <bgColor rgb="FFE8F0F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1FC8A0"/>
      </left>
      <right style="thin">
        <color rgb="FFE6E2DA"/>
      </right>
      <top style="thin">
        <color rgb="FFE6E2DA"/>
      </top>
      <bottom style="thin">
        <color rgb="FFE6E2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23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3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3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3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3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7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9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3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3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3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9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3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7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7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3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3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7A7A7A"/>
      <rgbColor rgb="FF9999FF"/>
      <rgbColor rgb="FF993366"/>
      <rgbColor rgb="FFFEF3DC"/>
      <rgbColor rgb="FFE8F5EE"/>
      <rgbColor rgb="FF660066"/>
      <rgbColor rgb="FFFF8080"/>
      <rgbColor rgb="FF0066CC"/>
      <rgbColor rgb="FFE6E2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F5F4F0"/>
      <rgbColor rgb="FFFFFF99"/>
      <rgbColor rgb="FF99CCFF"/>
      <rgbColor rgb="FFFF99CC"/>
      <rgbColor rgb="FFCC99FF"/>
      <rgbColor rgb="FFFFCC99"/>
      <rgbColor rgb="FF3366FF"/>
      <rgbColor rgb="FF1FC8A0"/>
      <rgbColor rgb="FF99CC00"/>
      <rgbColor rgb="FFFFCC00"/>
      <rgbColor rgb="FFFF9900"/>
      <rgbColor rgb="FFFF6600"/>
      <rgbColor rgb="FF666699"/>
      <rgbColor rgb="FF888888"/>
      <rgbColor rgb="FF003366"/>
      <rgbColor rgb="FF339966"/>
      <rgbColor rgb="FF0B1E2D"/>
      <rgbColor rgb="FF0F0F0F"/>
      <rgbColor rgb="FFA05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55"/>
    <col collapsed="false" customWidth="true" hidden="false" outlineLevel="0" max="6" min="3" style="1" width="18"/>
  </cols>
  <sheetData>
    <row r="1" customFormat="false" ht="21.75" hidden="false" customHeight="true" outlineLevel="0" collapsed="false">
      <c r="A1" s="2"/>
      <c r="B1" s="2"/>
      <c r="C1" s="2"/>
      <c r="D1" s="2"/>
      <c r="E1" s="2"/>
      <c r="F1" s="2"/>
    </row>
    <row r="2" customFormat="false" ht="21.75" hidden="false" customHeight="true" outlineLevel="0" collapsed="false">
      <c r="A2" s="2"/>
      <c r="B2" s="3" t="s">
        <v>0</v>
      </c>
      <c r="C2" s="3"/>
      <c r="D2" s="3"/>
      <c r="E2" s="3"/>
      <c r="F2" s="3"/>
    </row>
    <row r="3" customFormat="false" ht="21.75" hidden="false" customHeight="true" outlineLevel="0" collapsed="false">
      <c r="A3" s="2"/>
      <c r="B3" s="4" t="s">
        <v>1</v>
      </c>
      <c r="C3" s="4"/>
      <c r="D3" s="4"/>
      <c r="E3" s="4"/>
      <c r="F3" s="4"/>
    </row>
    <row r="4" customFormat="false" ht="21.75" hidden="false" customHeight="true" outlineLevel="0" collapsed="false">
      <c r="A4" s="2"/>
      <c r="B4" s="2"/>
      <c r="C4" s="2"/>
      <c r="D4" s="2"/>
      <c r="E4" s="2"/>
      <c r="F4" s="2"/>
    </row>
    <row r="5" customFormat="false" ht="37.5" hidden="false" customHeight="true" outlineLevel="0" collapsed="false">
      <c r="A5" s="2"/>
      <c r="B5" s="5" t="s">
        <v>2</v>
      </c>
      <c r="C5" s="5"/>
      <c r="D5" s="5"/>
      <c r="E5" s="5"/>
      <c r="F5" s="5"/>
    </row>
    <row r="6" customFormat="false" ht="21.75" hidden="false" customHeight="true" outlineLevel="0" collapsed="false">
      <c r="A6" s="2"/>
      <c r="B6" s="6" t="s">
        <v>3</v>
      </c>
      <c r="C6" s="6"/>
      <c r="D6" s="6"/>
      <c r="E6" s="6"/>
      <c r="F6" s="6"/>
    </row>
    <row r="7" customFormat="false" ht="21.75" hidden="false" customHeight="true" outlineLevel="0" collapsed="false">
      <c r="A7" s="2"/>
      <c r="B7" s="2"/>
      <c r="C7" s="2"/>
      <c r="D7" s="2"/>
      <c r="E7" s="2"/>
      <c r="F7" s="2"/>
    </row>
    <row r="8" customFormat="false" ht="3.75" hidden="false" customHeight="true" outlineLevel="0" collapsed="false">
      <c r="A8" s="7"/>
      <c r="B8" s="7"/>
      <c r="C8" s="7"/>
      <c r="D8" s="7"/>
      <c r="E8" s="7"/>
      <c r="F8" s="7"/>
    </row>
    <row r="9" customFormat="false" ht="7.5" hidden="false" customHeight="true" outlineLevel="0" collapsed="false">
      <c r="A9" s="2"/>
      <c r="B9" s="2"/>
      <c r="C9" s="2"/>
      <c r="D9" s="2"/>
      <c r="E9" s="2"/>
      <c r="F9" s="2"/>
    </row>
    <row r="10" customFormat="false" ht="21.75" hidden="false" customHeight="true" outlineLevel="0" collapsed="false">
      <c r="A10" s="2"/>
      <c r="B10" s="8" t="s">
        <v>4</v>
      </c>
      <c r="C10" s="8"/>
      <c r="D10" s="8"/>
      <c r="E10" s="8"/>
      <c r="F10" s="8"/>
    </row>
    <row r="11" customFormat="false" ht="21.75" hidden="false" customHeight="true" outlineLevel="0" collapsed="false">
      <c r="A11" s="2"/>
      <c r="B11" s="9" t="s">
        <v>5</v>
      </c>
      <c r="C11" s="10" t="s">
        <v>6</v>
      </c>
      <c r="D11" s="10"/>
      <c r="E11" s="10"/>
      <c r="F11" s="10"/>
    </row>
    <row r="12" customFormat="false" ht="21.75" hidden="false" customHeight="true" outlineLevel="0" collapsed="false">
      <c r="A12" s="2"/>
      <c r="B12" s="9" t="s">
        <v>7</v>
      </c>
      <c r="C12" s="10" t="s">
        <v>8</v>
      </c>
      <c r="D12" s="10"/>
      <c r="E12" s="10"/>
      <c r="F12" s="10"/>
    </row>
    <row r="13" customFormat="false" ht="21.75" hidden="false" customHeight="true" outlineLevel="0" collapsed="false">
      <c r="A13" s="2"/>
      <c r="B13" s="9" t="s">
        <v>9</v>
      </c>
      <c r="C13" s="10" t="s">
        <v>10</v>
      </c>
      <c r="D13" s="10"/>
      <c r="E13" s="10"/>
      <c r="F13" s="10"/>
    </row>
    <row r="14" customFormat="false" ht="21.75" hidden="false" customHeight="true" outlineLevel="0" collapsed="false">
      <c r="B14" s="9" t="s">
        <v>11</v>
      </c>
      <c r="C14" s="10" t="s">
        <v>12</v>
      </c>
      <c r="D14" s="10"/>
      <c r="E14" s="10"/>
      <c r="F14" s="10"/>
    </row>
    <row r="15" customFormat="false" ht="21.75" hidden="false" customHeight="true" outlineLevel="0" collapsed="false">
      <c r="B15" s="9" t="s">
        <v>13</v>
      </c>
      <c r="C15" s="10" t="s">
        <v>14</v>
      </c>
      <c r="D15" s="10"/>
      <c r="E15" s="10"/>
      <c r="F15" s="10"/>
    </row>
    <row r="16" customFormat="false" ht="21.75" hidden="false" customHeight="true" outlineLevel="0" collapsed="false">
      <c r="B16" s="9" t="s">
        <v>15</v>
      </c>
      <c r="C16" s="10" t="s">
        <v>16</v>
      </c>
      <c r="D16" s="10"/>
      <c r="E16" s="10"/>
      <c r="F16" s="10"/>
    </row>
    <row r="17" customFormat="false" ht="21.75" hidden="false" customHeight="true" outlineLevel="0" collapsed="false">
      <c r="B17" s="9" t="s">
        <v>17</v>
      </c>
      <c r="C17" s="10" t="s">
        <v>18</v>
      </c>
      <c r="D17" s="10"/>
      <c r="E17" s="10"/>
      <c r="F17" s="10"/>
    </row>
    <row r="18" customFormat="false" ht="21.75" hidden="false" customHeight="true" outlineLevel="0" collapsed="false">
      <c r="B18" s="9" t="s">
        <v>19</v>
      </c>
      <c r="C18" s="10" t="s">
        <v>20</v>
      </c>
      <c r="D18" s="10"/>
      <c r="E18" s="10"/>
      <c r="F18" s="10"/>
    </row>
    <row r="19" customFormat="false" ht="21.75" hidden="false" customHeight="true" outlineLevel="0" collapsed="false">
      <c r="B19" s="9" t="s">
        <v>21</v>
      </c>
      <c r="C19" s="10" t="s">
        <v>22</v>
      </c>
      <c r="D19" s="10"/>
      <c r="E19" s="10"/>
      <c r="F19" s="10"/>
    </row>
    <row r="20" customFormat="false" ht="21.75" hidden="false" customHeight="true" outlineLevel="0" collapsed="false">
      <c r="B20" s="9" t="s">
        <v>23</v>
      </c>
      <c r="C20" s="10" t="s">
        <v>24</v>
      </c>
      <c r="D20" s="10"/>
      <c r="E20" s="10"/>
      <c r="F20" s="10"/>
    </row>
    <row r="22" customFormat="false" ht="15" hidden="false" customHeight="true" outlineLevel="0" collapsed="false">
      <c r="B22" s="11" t="s">
        <v>25</v>
      </c>
      <c r="C22" s="11"/>
      <c r="D22" s="11"/>
      <c r="E22" s="11"/>
      <c r="F22" s="11"/>
    </row>
    <row r="23" customFormat="false" ht="21.75" hidden="false" customHeight="true" outlineLevel="0" collapsed="false">
      <c r="B23" s="12" t="s">
        <v>26</v>
      </c>
      <c r="C23" s="12"/>
      <c r="D23" s="12"/>
      <c r="E23" s="12"/>
      <c r="F23" s="12"/>
    </row>
    <row r="24" customFormat="false" ht="21.75" hidden="false" customHeight="true" outlineLevel="0" collapsed="false">
      <c r="B24" s="12" t="s">
        <v>27</v>
      </c>
      <c r="C24" s="12"/>
      <c r="D24" s="12"/>
      <c r="E24" s="12"/>
      <c r="F24" s="12"/>
    </row>
    <row r="25" customFormat="false" ht="21.75" hidden="false" customHeight="true" outlineLevel="0" collapsed="false">
      <c r="B25" s="12" t="s">
        <v>28</v>
      </c>
      <c r="C25" s="12"/>
      <c r="D25" s="12"/>
      <c r="E25" s="12"/>
      <c r="F25" s="12"/>
    </row>
    <row r="26" customFormat="false" ht="21.75" hidden="false" customHeight="true" outlineLevel="0" collapsed="false">
      <c r="B26" s="12" t="s">
        <v>29</v>
      </c>
      <c r="C26" s="12"/>
      <c r="D26" s="12"/>
      <c r="E26" s="12"/>
      <c r="F26" s="12"/>
    </row>
    <row r="27" customFormat="false" ht="21.75" hidden="false" customHeight="true" outlineLevel="0" collapsed="false">
      <c r="B27" s="12" t="s">
        <v>30</v>
      </c>
      <c r="C27" s="12"/>
      <c r="D27" s="12"/>
      <c r="E27" s="12"/>
      <c r="F27" s="12"/>
    </row>
    <row r="28" customFormat="false" ht="21.75" hidden="false" customHeight="true" outlineLevel="0" collapsed="false">
      <c r="B28" s="12" t="s">
        <v>31</v>
      </c>
      <c r="C28" s="12"/>
      <c r="D28" s="12"/>
      <c r="E28" s="12"/>
      <c r="F28" s="12"/>
    </row>
    <row r="29" customFormat="false" ht="21.75" hidden="false" customHeight="true" outlineLevel="0" collapsed="false">
      <c r="B29" s="12" t="s">
        <v>32</v>
      </c>
      <c r="C29" s="12"/>
      <c r="D29" s="12"/>
      <c r="E29" s="12"/>
      <c r="F29" s="12"/>
    </row>
    <row r="30" customFormat="false" ht="15" hidden="false" customHeight="true" outlineLevel="0" collapsed="false">
      <c r="B30" s="13" t="s">
        <v>33</v>
      </c>
      <c r="C30" s="13"/>
      <c r="D30" s="13"/>
      <c r="E30" s="13"/>
      <c r="F30" s="13"/>
    </row>
  </sheetData>
  <mergeCells count="24">
    <mergeCell ref="B2:F2"/>
    <mergeCell ref="B3:F3"/>
    <mergeCell ref="B5:F5"/>
    <mergeCell ref="B6:F6"/>
    <mergeCell ref="B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14" min="2" style="1" width="12"/>
  </cols>
  <sheetData>
    <row r="1" customFormat="false" ht="27.75" hidden="false" customHeight="true" outlineLevel="0" collapsed="false">
      <c r="A1" s="14" t="s">
        <v>299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customFormat="false" ht="15" hidden="false" customHeight="true" outlineLevel="0" collapsed="false">
      <c r="A2" s="15" t="s">
        <v>300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customFormat="false" ht="15" hidden="false" customHeight="true" outlineLevel="0" collapsed="false">
      <c r="A3" s="29" t="s">
        <v>301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customFormat="false" ht="21.75" hidden="false" customHeight="true" outlineLevel="0" collapsed="false">
      <c r="A4" s="22" t="s">
        <v>302</v>
      </c>
      <c r="B4" s="54" t="s">
        <v>234</v>
      </c>
      <c r="C4" s="54" t="s">
        <v>235</v>
      </c>
      <c r="D4" s="54" t="s">
        <v>236</v>
      </c>
      <c r="E4" s="54" t="s">
        <v>237</v>
      </c>
      <c r="F4" s="54" t="s">
        <v>238</v>
      </c>
      <c r="G4" s="54" t="s">
        <v>239</v>
      </c>
      <c r="H4" s="54" t="s">
        <v>240</v>
      </c>
      <c r="I4" s="54" t="s">
        <v>241</v>
      </c>
      <c r="J4" s="54" t="s">
        <v>242</v>
      </c>
      <c r="K4" s="54" t="s">
        <v>243</v>
      </c>
      <c r="L4" s="54" t="s">
        <v>244</v>
      </c>
      <c r="M4" s="54" t="s">
        <v>245</v>
      </c>
      <c r="N4" s="54" t="s">
        <v>303</v>
      </c>
    </row>
    <row r="5" customFormat="false" ht="21.75" hidden="false" customHeight="true" outlineLevel="0" collapsed="false">
      <c r="A5" s="30" t="s">
        <v>304</v>
      </c>
    </row>
    <row r="6" customFormat="false" ht="21.75" hidden="false" customHeight="true" outlineLevel="0" collapsed="false">
      <c r="A6" s="30" t="s">
        <v>305</v>
      </c>
      <c r="B6" s="31" t="n">
        <v>1761</v>
      </c>
      <c r="C6" s="31" t="n">
        <v>1647</v>
      </c>
      <c r="D6" s="31" t="n">
        <v>1877</v>
      </c>
      <c r="E6" s="31" t="n">
        <v>1805</v>
      </c>
      <c r="F6" s="31" t="n">
        <v>1920</v>
      </c>
      <c r="G6" s="31" t="n">
        <v>2035</v>
      </c>
      <c r="H6" s="31" t="n">
        <v>1738</v>
      </c>
      <c r="I6" s="31" t="n">
        <v>1601</v>
      </c>
      <c r="J6" s="31" t="n">
        <v>2149</v>
      </c>
      <c r="K6" s="31" t="n">
        <v>1965</v>
      </c>
      <c r="L6" s="31" t="n">
        <v>1852</v>
      </c>
      <c r="M6" s="31" t="n">
        <v>2378</v>
      </c>
      <c r="N6" s="66" t="n">
        <v>1900</v>
      </c>
    </row>
    <row r="7" customFormat="false" ht="21.75" hidden="false" customHeight="true" outlineLevel="0" collapsed="false">
      <c r="A7" s="30" t="s">
        <v>306</v>
      </c>
      <c r="B7" s="31" t="n">
        <v>59750</v>
      </c>
      <c r="C7" s="31" t="n">
        <v>55890</v>
      </c>
      <c r="D7" s="31" t="n">
        <v>63690</v>
      </c>
      <c r="E7" s="31" t="n">
        <v>61310</v>
      </c>
      <c r="F7" s="31" t="n">
        <v>65210</v>
      </c>
      <c r="G7" s="31" t="n">
        <v>69100</v>
      </c>
      <c r="H7" s="31" t="n">
        <v>59000</v>
      </c>
      <c r="I7" s="31" t="n">
        <v>54340</v>
      </c>
      <c r="J7" s="31" t="n">
        <v>72970</v>
      </c>
      <c r="K7" s="31" t="n">
        <v>66720</v>
      </c>
      <c r="L7" s="31" t="n">
        <v>62880</v>
      </c>
      <c r="M7" s="31" t="n">
        <v>80740</v>
      </c>
      <c r="N7" s="66" t="n">
        <v>63800</v>
      </c>
    </row>
    <row r="8" customFormat="false" ht="21.75" hidden="false" customHeight="true" outlineLevel="0" collapsed="false">
      <c r="A8" s="30" t="s">
        <v>307</v>
      </c>
      <c r="B8" s="67" t="n">
        <v>0.579</v>
      </c>
      <c r="C8" s="67" t="n">
        <v>0.579</v>
      </c>
      <c r="D8" s="67" t="n">
        <v>0.579</v>
      </c>
      <c r="E8" s="67" t="n">
        <v>0.579</v>
      </c>
      <c r="F8" s="67" t="n">
        <v>0.58</v>
      </c>
      <c r="G8" s="67" t="n">
        <v>0.58</v>
      </c>
      <c r="H8" s="67" t="n">
        <v>0.58</v>
      </c>
      <c r="I8" s="67" t="n">
        <v>0.579</v>
      </c>
      <c r="J8" s="67" t="n">
        <v>0.58</v>
      </c>
      <c r="K8" s="67" t="n">
        <v>0.58</v>
      </c>
      <c r="L8" s="67" t="n">
        <v>0.58</v>
      </c>
      <c r="M8" s="67" t="n">
        <v>0.58</v>
      </c>
      <c r="N8" s="68" t="n">
        <v>0.58</v>
      </c>
    </row>
    <row r="9" customFormat="false" ht="21.75" hidden="false" customHeight="true" outlineLevel="0" collapsed="false">
      <c r="A9" s="30" t="s">
        <v>308</v>
      </c>
      <c r="B9" s="31" t="n">
        <v>36550</v>
      </c>
      <c r="C9" s="31" t="n">
        <v>33690</v>
      </c>
      <c r="D9" s="31" t="n">
        <v>40390</v>
      </c>
      <c r="E9" s="31" t="n">
        <v>38010</v>
      </c>
      <c r="F9" s="31" t="n">
        <v>41810</v>
      </c>
      <c r="G9" s="31" t="n">
        <v>45700</v>
      </c>
      <c r="H9" s="31" t="n">
        <v>36500</v>
      </c>
      <c r="I9" s="31" t="n">
        <v>31140</v>
      </c>
      <c r="J9" s="31" t="n">
        <v>49470</v>
      </c>
      <c r="K9" s="31" t="n">
        <v>43420</v>
      </c>
      <c r="L9" s="31" t="n">
        <v>39580</v>
      </c>
      <c r="M9" s="31" t="n">
        <v>57340</v>
      </c>
      <c r="N9" s="66" t="n">
        <v>40000</v>
      </c>
    </row>
    <row r="10" customFormat="false" ht="21.75" hidden="false" customHeight="true" outlineLevel="0" collapsed="false">
      <c r="A10" s="30" t="s">
        <v>309</v>
      </c>
      <c r="B10" s="67" t="n">
        <v>0.354</v>
      </c>
      <c r="C10" s="67" t="n">
        <v>0.349</v>
      </c>
      <c r="D10" s="67" t="n">
        <v>0.367</v>
      </c>
      <c r="E10" s="67" t="n">
        <v>0.359</v>
      </c>
      <c r="F10" s="67" t="n">
        <v>0.372</v>
      </c>
      <c r="G10" s="67" t="n">
        <v>0.383</v>
      </c>
      <c r="H10" s="67" t="n">
        <v>0.359</v>
      </c>
      <c r="I10" s="67" t="n">
        <v>0.332</v>
      </c>
      <c r="J10" s="67" t="n">
        <v>0.393</v>
      </c>
      <c r="K10" s="67" t="n">
        <v>0.377</v>
      </c>
      <c r="L10" s="67" t="n">
        <v>0.365</v>
      </c>
      <c r="M10" s="67" t="n">
        <v>0.412</v>
      </c>
      <c r="N10" s="68" t="n">
        <v>0.38</v>
      </c>
    </row>
    <row r="11" customFormat="false" ht="21.75" hidden="false" customHeight="true" outlineLevel="0" collapsed="false">
      <c r="A11" s="30" t="s">
        <v>310</v>
      </c>
      <c r="B11" s="31" t="n">
        <v>1354</v>
      </c>
      <c r="C11" s="31" t="n">
        <v>1354</v>
      </c>
      <c r="D11" s="31" t="n">
        <v>1354</v>
      </c>
      <c r="E11" s="31" t="n">
        <v>1354</v>
      </c>
      <c r="F11" s="31" t="n">
        <v>1354</v>
      </c>
      <c r="G11" s="31" t="n">
        <v>1354</v>
      </c>
      <c r="H11" s="31" t="n">
        <v>1354</v>
      </c>
      <c r="I11" s="31" t="n">
        <v>1354</v>
      </c>
      <c r="J11" s="31" t="n">
        <v>1354</v>
      </c>
      <c r="K11" s="31" t="n">
        <v>1354</v>
      </c>
      <c r="L11" s="31" t="n">
        <v>1354</v>
      </c>
      <c r="M11" s="31" t="n">
        <v>1354</v>
      </c>
      <c r="N11" s="66" t="n">
        <v>1354</v>
      </c>
    </row>
    <row r="12" customFormat="false" ht="21.75" hidden="false" customHeight="true" outlineLevel="0" collapsed="false">
      <c r="A12" s="30" t="s">
        <v>311</v>
      </c>
      <c r="B12" s="34" t="n">
        <v>24.99</v>
      </c>
      <c r="C12" s="34" t="n">
        <v>24.99</v>
      </c>
      <c r="D12" s="34" t="n">
        <v>24.99</v>
      </c>
      <c r="E12" s="34" t="n">
        <v>24.99</v>
      </c>
      <c r="F12" s="34" t="n">
        <v>24.99</v>
      </c>
      <c r="G12" s="34" t="n">
        <v>24.99</v>
      </c>
      <c r="H12" s="34" t="n">
        <v>24.99</v>
      </c>
      <c r="I12" s="34" t="n">
        <v>24.99</v>
      </c>
      <c r="J12" s="34" t="n">
        <v>24.99</v>
      </c>
      <c r="K12" s="34" t="n">
        <v>24.99</v>
      </c>
      <c r="L12" s="34" t="n">
        <v>24.99</v>
      </c>
      <c r="M12" s="34" t="n">
        <v>24.99</v>
      </c>
      <c r="N12" s="69" t="n">
        <v>58.61</v>
      </c>
    </row>
    <row r="13" customFormat="false" ht="21.75" hidden="false" customHeight="true" outlineLevel="0" collapsed="false">
      <c r="A13" s="30" t="s">
        <v>312</v>
      </c>
      <c r="B13" s="34" t="n">
        <v>25</v>
      </c>
      <c r="C13" s="34" t="n">
        <v>25</v>
      </c>
      <c r="D13" s="34" t="n">
        <v>25</v>
      </c>
      <c r="E13" s="34" t="n">
        <v>25</v>
      </c>
      <c r="F13" s="34" t="n">
        <v>25</v>
      </c>
      <c r="G13" s="34" t="n">
        <v>25</v>
      </c>
      <c r="H13" s="34" t="n">
        <v>25</v>
      </c>
      <c r="I13" s="34" t="n">
        <v>25</v>
      </c>
      <c r="J13" s="34" t="n">
        <v>25</v>
      </c>
      <c r="K13" s="34" t="n">
        <v>25</v>
      </c>
      <c r="L13" s="34" t="n">
        <v>25</v>
      </c>
      <c r="M13" s="34" t="n">
        <v>25</v>
      </c>
      <c r="N13" s="69" t="n">
        <v>45</v>
      </c>
    </row>
    <row r="14" customFormat="false" ht="21.75" hidden="false" customHeight="true" outlineLevel="0" collapsed="false">
      <c r="A14" s="30" t="s">
        <v>313</v>
      </c>
      <c r="B14" s="31" t="n">
        <v>18000</v>
      </c>
      <c r="C14" s="31" t="n">
        <v>19095</v>
      </c>
      <c r="D14" s="31" t="n">
        <v>20315</v>
      </c>
      <c r="E14" s="31" t="n">
        <v>23500</v>
      </c>
      <c r="F14" s="31" t="n">
        <v>26800</v>
      </c>
      <c r="G14" s="31" t="n">
        <v>31650</v>
      </c>
      <c r="H14" s="31" t="n">
        <v>37500</v>
      </c>
      <c r="I14" s="31" t="n">
        <v>38950</v>
      </c>
      <c r="J14" s="31" t="n">
        <v>43200</v>
      </c>
      <c r="K14" s="31" t="n">
        <v>50100</v>
      </c>
      <c r="L14" s="31" t="n">
        <v>57000</v>
      </c>
      <c r="M14" s="31" t="n">
        <v>68200</v>
      </c>
      <c r="N14" s="66" t="n">
        <v>25000</v>
      </c>
    </row>
    <row r="15" customFormat="false" ht="21.75" hidden="false" customHeight="true" outlineLevel="0" collapsed="false">
      <c r="A15" s="30" t="s">
        <v>314</v>
      </c>
      <c r="B15" s="70" t="n">
        <v>32</v>
      </c>
      <c r="C15" s="70" t="n">
        <v>35</v>
      </c>
      <c r="D15" s="70" t="n">
        <v>30</v>
      </c>
      <c r="E15" s="70" t="n">
        <v>31</v>
      </c>
      <c r="F15" s="70" t="n">
        <v>30</v>
      </c>
      <c r="G15" s="70" t="n">
        <v>29</v>
      </c>
      <c r="H15" s="70" t="n">
        <v>33</v>
      </c>
      <c r="I15" s="70" t="n">
        <v>36</v>
      </c>
      <c r="J15" s="70" t="n">
        <v>28</v>
      </c>
      <c r="K15" s="70" t="n">
        <v>30</v>
      </c>
      <c r="L15" s="70" t="n">
        <v>31</v>
      </c>
      <c r="M15" s="70" t="n">
        <v>28</v>
      </c>
      <c r="N15" s="71" t="n">
        <v>30</v>
      </c>
    </row>
    <row r="16" customFormat="false" ht="21.75" hidden="false" customHeight="true" outlineLevel="0" collapsed="false">
      <c r="A16" s="30" t="s">
        <v>315</v>
      </c>
      <c r="B16" s="72" t="n">
        <v>4.2</v>
      </c>
      <c r="C16" s="72" t="n">
        <v>4.1</v>
      </c>
      <c r="D16" s="72" t="n">
        <v>4.3</v>
      </c>
      <c r="E16" s="72" t="n">
        <v>4.2</v>
      </c>
      <c r="F16" s="72" t="n">
        <v>4.4</v>
      </c>
      <c r="G16" s="72" t="n">
        <v>4.5</v>
      </c>
      <c r="H16" s="72" t="n">
        <v>4.1</v>
      </c>
      <c r="I16" s="72" t="n">
        <v>3.9</v>
      </c>
      <c r="J16" s="72" t="n">
        <v>4.6</v>
      </c>
      <c r="K16" s="72" t="n">
        <v>4.3</v>
      </c>
      <c r="L16" s="72" t="n">
        <v>4.2</v>
      </c>
      <c r="M16" s="72" t="n">
        <v>4.8</v>
      </c>
      <c r="N16" s="73" t="n">
        <v>6</v>
      </c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10"/>
    <col collapsed="false" customWidth="true" hidden="false" outlineLevel="0" max="3" min="3" style="1" width="8"/>
    <col collapsed="false" customWidth="true" hidden="false" outlineLevel="0" max="34" min="4" style="1" width="12"/>
    <col collapsed="false" customWidth="true" hidden="false" outlineLevel="0" max="35" min="35" style="1" width="20"/>
  </cols>
  <sheetData>
    <row r="1" customFormat="false" ht="27.75" hidden="false" customHeight="true" outlineLevel="0" collapsed="false">
      <c r="A1" s="14" t="s">
        <v>316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customFormat="false" ht="15" hidden="false" customHeight="true" outlineLevel="0" collapsed="false">
      <c r="A2" s="15" t="s">
        <v>317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customFormat="false" ht="21.75" hidden="false" customHeight="true" outlineLevel="0" collapsed="false">
      <c r="A3" s="8" t="s">
        <v>318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customFormat="false" ht="21.75" hidden="false" customHeight="true" outlineLevel="0" collapsed="false">
      <c r="A4" s="30" t="s">
        <v>319</v>
      </c>
      <c r="B4" s="67" t="n">
        <v>0.35</v>
      </c>
    </row>
    <row r="5" customFormat="false" ht="21.75" hidden="false" customHeight="true" outlineLevel="0" collapsed="false">
      <c r="A5" s="30" t="s">
        <v>320</v>
      </c>
      <c r="B5" s="67" t="n">
        <v>0.015</v>
      </c>
      <c r="D5" s="30" t="s">
        <v>320</v>
      </c>
      <c r="E5" s="67" t="n">
        <v>0.015</v>
      </c>
    </row>
    <row r="6" customFormat="false" ht="21.75" hidden="false" customHeight="true" outlineLevel="0" collapsed="false">
      <c r="A6" s="30" t="s">
        <v>321</v>
      </c>
      <c r="B6" s="67" t="n">
        <v>0.1</v>
      </c>
    </row>
    <row r="7" customFormat="false" ht="21.75" hidden="false" customHeight="true" outlineLevel="0" collapsed="false">
      <c r="A7" s="30" t="s">
        <v>322</v>
      </c>
      <c r="B7" s="67" t="n">
        <v>0.05</v>
      </c>
    </row>
    <row r="8" customFormat="false" ht="21.75" hidden="false" customHeight="true" outlineLevel="0" collapsed="false">
      <c r="A8" s="30" t="s">
        <v>323</v>
      </c>
      <c r="B8" s="67" t="n">
        <v>0.015</v>
      </c>
    </row>
    <row r="10" customFormat="false" ht="21.75" hidden="false" customHeight="true" outlineLevel="0" collapsed="false">
      <c r="A10" s="8" t="s">
        <v>324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customFormat="false" ht="21.75" hidden="false" customHeight="true" outlineLevel="0" collapsed="false">
      <c r="A11" s="32" t="s">
        <v>325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</row>
    <row r="12" customFormat="false" ht="54.75" hidden="false" customHeight="true" outlineLevel="0" collapsed="false">
      <c r="A12" s="74" t="s">
        <v>326</v>
      </c>
      <c r="B12" s="74" t="s">
        <v>327</v>
      </c>
      <c r="C12" s="74" t="s">
        <v>328</v>
      </c>
      <c r="D12" s="74" t="s">
        <v>329</v>
      </c>
      <c r="E12" s="74" t="s">
        <v>330</v>
      </c>
      <c r="F12" s="74" t="s">
        <v>331</v>
      </c>
      <c r="G12" s="74" t="s">
        <v>332</v>
      </c>
      <c r="H12" s="74" t="s">
        <v>333</v>
      </c>
      <c r="I12" s="74" t="s">
        <v>334</v>
      </c>
      <c r="J12" s="74" t="s">
        <v>335</v>
      </c>
      <c r="K12" s="74" t="s">
        <v>336</v>
      </c>
      <c r="L12" s="74" t="s">
        <v>337</v>
      </c>
      <c r="M12" s="74" t="s">
        <v>338</v>
      </c>
      <c r="N12" s="74" t="s">
        <v>339</v>
      </c>
      <c r="O12" s="74" t="s">
        <v>340</v>
      </c>
      <c r="P12" s="74" t="s">
        <v>341</v>
      </c>
      <c r="Q12" s="74" t="s">
        <v>342</v>
      </c>
      <c r="R12" s="74" t="s">
        <v>343</v>
      </c>
      <c r="S12" s="74" t="s">
        <v>344</v>
      </c>
      <c r="T12" s="74" t="s">
        <v>345</v>
      </c>
      <c r="U12" s="74" t="s">
        <v>346</v>
      </c>
      <c r="V12" s="74" t="s">
        <v>347</v>
      </c>
      <c r="W12" s="74" t="s">
        <v>348</v>
      </c>
      <c r="X12" s="74" t="s">
        <v>349</v>
      </c>
      <c r="Y12" s="74" t="s">
        <v>350</v>
      </c>
      <c r="Z12" s="74" t="s">
        <v>351</v>
      </c>
      <c r="AA12" s="74" t="s">
        <v>352</v>
      </c>
      <c r="AB12" s="74" t="s">
        <v>353</v>
      </c>
      <c r="AC12" s="74" t="s">
        <v>354</v>
      </c>
      <c r="AD12" s="74" t="s">
        <v>355</v>
      </c>
      <c r="AE12" s="74" t="s">
        <v>356</v>
      </c>
      <c r="AF12" s="74" t="s">
        <v>357</v>
      </c>
      <c r="AG12" s="74" t="s">
        <v>358</v>
      </c>
      <c r="AH12" s="74" t="s">
        <v>359</v>
      </c>
      <c r="AI12" s="74" t="s">
        <v>360</v>
      </c>
    </row>
    <row r="15" customFormat="false" ht="21.75" hidden="false" customHeight="true" outlineLevel="0" collapsed="false">
      <c r="A15" s="75" t="s">
        <v>151</v>
      </c>
      <c r="B15" s="75" t="s">
        <v>133</v>
      </c>
      <c r="C15" s="75" t="s">
        <v>361</v>
      </c>
      <c r="D15" s="76" t="n">
        <v>18</v>
      </c>
      <c r="E15" s="77" t="n">
        <v>1.27</v>
      </c>
      <c r="F15" s="78" t="n">
        <f aca="false">IFERROR(D15/E15,0)</f>
        <v>14.1732283464567</v>
      </c>
      <c r="G15" s="79" t="n">
        <v>450</v>
      </c>
      <c r="H15" s="79" t="n">
        <v>50</v>
      </c>
      <c r="I15" s="78" t="n">
        <f aca="false">IFERROR(IF(OR(H15=0,H15=""),0,G15/H15),0)</f>
        <v>9</v>
      </c>
      <c r="J15" s="80" t="n">
        <v>0.05</v>
      </c>
      <c r="K15" s="78" t="n">
        <f aca="false">IFERROR(IF(B15="Import",(F15+I15)*J15,0),0)</f>
        <v>1.15866141732283</v>
      </c>
      <c r="L15" s="78" t="n">
        <f aca="false">IFERROR(IF(B15="Import",(F15+I15+K15)*$E$5,0),0)</f>
        <v>0.364978346456693</v>
      </c>
      <c r="M15" s="78" t="n">
        <f aca="false">IFERROR(F15+I15+K15+L15,0)</f>
        <v>24.6968681102362</v>
      </c>
      <c r="N15" s="76" t="n">
        <v>49.99</v>
      </c>
      <c r="O15" s="76" t="n">
        <v>4</v>
      </c>
      <c r="P15" s="78" t="n">
        <f aca="false">IFERROR(N15*$B$9,0)</f>
        <v>0</v>
      </c>
      <c r="Q15" s="76" t="n">
        <v>2</v>
      </c>
      <c r="R15" s="79" t="n">
        <v>120</v>
      </c>
      <c r="S15" s="78" t="n">
        <f aca="false">IFERROR(N15-M15,0)</f>
        <v>25.2931318897638</v>
      </c>
      <c r="T15" s="78" t="n">
        <f aca="false">IFERROR(N15-M15-O15-P15-Q15,0)</f>
        <v>19.2931318897638</v>
      </c>
      <c r="U15" s="81" t="n">
        <f aca="false">IFERROR(T15/N15,0)</f>
        <v>0.385939825760428</v>
      </c>
      <c r="V15" s="82" t="n">
        <f aca="false">IFERROR(T15*R15,0)</f>
        <v>2315.17582677165</v>
      </c>
      <c r="W15" s="83" t="n">
        <f aca="false">IFERROR(MIN(100,MAX(0,ROUND(U15/$B$5*100,0))),0)</f>
        <v>100</v>
      </c>
      <c r="X15" s="78" t="n">
        <f aca="false">IFERROR((M15+O15+P15+Q15)/(1-$B$5),0)</f>
        <v>31.1643331068388</v>
      </c>
      <c r="Y15" s="78" t="n">
        <f aca="false">IFERROR(X15-N15,0)</f>
        <v>-18.8256668931612</v>
      </c>
      <c r="Z15" s="82" t="n">
        <f aca="false">IFERROR(IF(Y15&gt;0,Y15*R15,0),0)</f>
        <v>0</v>
      </c>
      <c r="AA15" s="84" t="n">
        <f aca="false">IFERROR(E15*(1+$B$8),0)</f>
        <v>1.28905</v>
      </c>
      <c r="AB15" s="78" t="n">
        <f aca="false">IFERROR(N15-(D15/AA15)-I15-IF(B15="Import",(D15/AA15+I15)*J15,0)-IF(B15="Import",(D15/AA15+I15)*J15*$E$5,0)-O15-(N15*$B$9)-Q15,0)</f>
        <v>19.8608168127691</v>
      </c>
      <c r="AC15" s="78" t="n">
        <f aca="false">IFERROR(T15-AB15,0)</f>
        <v>-0.567684923005313</v>
      </c>
      <c r="AD15" s="81" t="n">
        <f aca="false">IFERROR(V15/SUM($V$15:$V$44),0)</f>
        <v>0.0344767784835407</v>
      </c>
      <c r="AE15" s="83" t="str">
        <f aca="false">IFERROR(IF(RANK(V15,V$15:V$44,0)/COUNTA(A$15:A$44)&lt;=0.2,"A",IF(RANK(V15,V$15:V$44,0)/COUNTA(A$15:A$44)&lt;=0.5,"B","C")),"-")</f>
        <v>B</v>
      </c>
      <c r="AF15" s="85" t="s">
        <v>362</v>
      </c>
      <c r="AG15" s="83" t="n">
        <f aca="true">IFERROR(IF(AF15="","",DATEDIF(AF15,TODAY(),"M")),"")</f>
        <v>37</v>
      </c>
      <c r="AH15" s="83" t="str">
        <f aca="false">IFERROR(IF(AG15="","-",IF(AG15&lt;6,"Launch",IF(AG15&lt;18,"Growth",IF(AG15&lt;48,"Mature","Decline")))),"-")</f>
        <v>Mature</v>
      </c>
      <c r="AI15" s="83" t="str">
        <f aca="false">IFERROR(IF(T15&lt;0,"DELETE - loss-making",IF(U15&lt;$B$7,"REPRICE - below margin floor",IF(U15&lt;$B$6,"Review pricing",IF(U15&lt;$B$5,"Maintain - below target","Protect &amp; Grow")))),"-")</f>
        <v>Protect &amp; Grow</v>
      </c>
    </row>
    <row r="16" customFormat="false" ht="21.75" hidden="false" customHeight="true" outlineLevel="0" collapsed="false">
      <c r="A16" s="75" t="s">
        <v>154</v>
      </c>
      <c r="B16" s="75" t="s">
        <v>133</v>
      </c>
      <c r="C16" s="75" t="s">
        <v>361</v>
      </c>
      <c r="D16" s="76" t="n">
        <v>32</v>
      </c>
      <c r="E16" s="77" t="n">
        <v>1.27</v>
      </c>
      <c r="F16" s="78" t="n">
        <f aca="false">IFERROR(D16/E16,0)</f>
        <v>25.1968503937008</v>
      </c>
      <c r="G16" s="79" t="n">
        <v>600</v>
      </c>
      <c r="H16" s="79" t="n">
        <v>30</v>
      </c>
      <c r="I16" s="78" t="n">
        <f aca="false">IFERROR(IF(OR(H16=0,H16=""),0,G16/H16),0)</f>
        <v>20</v>
      </c>
      <c r="J16" s="80" t="n">
        <v>0.05</v>
      </c>
      <c r="K16" s="78" t="n">
        <f aca="false">IFERROR(IF(B16="Import",(F16+I16)*J16,0),0)</f>
        <v>2.25984251968504</v>
      </c>
      <c r="L16" s="78" t="n">
        <f aca="false">IFERROR(IF(B16="Import",(F16+I16+K16)*$E$5,0),0)</f>
        <v>0.711850393700787</v>
      </c>
      <c r="M16" s="78" t="n">
        <f aca="false">IFERROR(F16+I16+K16+L16,0)</f>
        <v>48.1685433070866</v>
      </c>
      <c r="N16" s="76" t="n">
        <v>89.99</v>
      </c>
      <c r="O16" s="76" t="n">
        <v>6</v>
      </c>
      <c r="P16" s="78" t="n">
        <f aca="false">IFERROR(N16*$B$9,0)</f>
        <v>0</v>
      </c>
      <c r="Q16" s="76" t="n">
        <v>3.5</v>
      </c>
      <c r="R16" s="79" t="n">
        <v>80</v>
      </c>
      <c r="S16" s="78" t="n">
        <f aca="false">IFERROR(N16-M16,0)</f>
        <v>41.8214566929134</v>
      </c>
      <c r="T16" s="78" t="n">
        <f aca="false">IFERROR(N16-M16-O16-P16-Q16,0)</f>
        <v>32.3214566929134</v>
      </c>
      <c r="U16" s="81" t="n">
        <f aca="false">IFERROR(T16/N16,0)</f>
        <v>0.359167204055044</v>
      </c>
      <c r="V16" s="82" t="n">
        <f aca="false">IFERROR(T16*R16,0)</f>
        <v>2585.71653543307</v>
      </c>
      <c r="W16" s="83" t="n">
        <f aca="false">IFERROR(MIN(100,MAX(0,ROUND(U16/$B$5*100,0))),0)</f>
        <v>100</v>
      </c>
      <c r="X16" s="78" t="n">
        <f aca="false">IFERROR((M16+O16+P16+Q16)/(1-$B$5),0)</f>
        <v>58.5467444741996</v>
      </c>
      <c r="Y16" s="78" t="n">
        <f aca="false">IFERROR(X16-N16,0)</f>
        <v>-31.4432555258004</v>
      </c>
      <c r="Z16" s="82" t="n">
        <f aca="false">IFERROR(IF(Y16&gt;0,Y16*R16,0),0)</f>
        <v>0</v>
      </c>
      <c r="AA16" s="84" t="n">
        <f aca="false">IFERROR(E16*(1+$B$8),0)</f>
        <v>1.28905</v>
      </c>
      <c r="AB16" s="78" t="n">
        <f aca="false">IFERROR(N16-(D16/AA16)-I16-IF(B16="Import",(D16/AA16+I16)*J16,0)-IF(B16="Import",(D16/AA16+I16)*J16*$E$5,0)-O16-(N16*$B$9)-Q16,0)</f>
        <v>33.3906743338117</v>
      </c>
      <c r="AC16" s="78" t="n">
        <f aca="false">IFERROR(T16-AB16,0)</f>
        <v>-1.06921764089833</v>
      </c>
      <c r="AD16" s="81" t="n">
        <f aca="false">IFERROR(V16/SUM($V$15:$V$44),0)</f>
        <v>0.0385055749038567</v>
      </c>
      <c r="AE16" s="83" t="str">
        <f aca="false">IFERROR(IF(RANK(V16,V$15:V$44,0)/COUNTA(A$15:A$44)&lt;=0.2,"A",IF(RANK(V16,V$15:V$44,0)/COUNTA(A$15:A$44)&lt;=0.5,"B","C")),"-")</f>
        <v>B</v>
      </c>
      <c r="AF16" s="85" t="s">
        <v>363</v>
      </c>
      <c r="AG16" s="83" t="n">
        <f aca="true">IFERROR(IF(AF16="","",DATEDIF(AF16,TODAY(),"M")),"")</f>
        <v>20</v>
      </c>
      <c r="AH16" s="83" t="str">
        <f aca="false">IFERROR(IF(AG16="","-",IF(AG16&lt;6,"Launch",IF(AG16&lt;18,"Growth",IF(AG16&lt;48,"Mature","Decline")))),"-")</f>
        <v>Mature</v>
      </c>
      <c r="AI16" s="83" t="str">
        <f aca="false">IFERROR(IF(T16&lt;0,"DELETE - loss-making",IF(U16&lt;$B$7,"REPRICE - below margin floor",IF(U16&lt;$B$6,"Review pricing",IF(U16&lt;$B$5,"Maintain - below target","Protect &amp; Grow")))),"-")</f>
        <v>Protect &amp; Grow</v>
      </c>
    </row>
    <row r="17" customFormat="false" ht="21.75" hidden="false" customHeight="true" outlineLevel="0" collapsed="false">
      <c r="A17" s="75" t="s">
        <v>155</v>
      </c>
      <c r="B17" s="75" t="s">
        <v>133</v>
      </c>
      <c r="C17" s="75" t="s">
        <v>364</v>
      </c>
      <c r="D17" s="76" t="n">
        <v>14</v>
      </c>
      <c r="E17" s="77" t="n">
        <v>1.16</v>
      </c>
      <c r="F17" s="78" t="n">
        <f aca="false">IFERROR(D17/E17,0)</f>
        <v>12.0689655172414</v>
      </c>
      <c r="G17" s="79" t="n">
        <v>350</v>
      </c>
      <c r="H17" s="79" t="n">
        <v>60</v>
      </c>
      <c r="I17" s="78" t="n">
        <f aca="false">IFERROR(IF(OR(H17=0,H17=""),0,G17/H17),0)</f>
        <v>5.83333333333333</v>
      </c>
      <c r="J17" s="80" t="n">
        <v>0.05</v>
      </c>
      <c r="K17" s="78" t="n">
        <f aca="false">IFERROR(IF(B17="Import",(F17+I17)*J17,0),0)</f>
        <v>0.895114942528736</v>
      </c>
      <c r="L17" s="78" t="n">
        <f aca="false">IFERROR(IF(B17="Import",(F17+I17+K17)*$E$5,0),0)</f>
        <v>0.281961206896552</v>
      </c>
      <c r="M17" s="78" t="n">
        <f aca="false">IFERROR(F17+I17+K17+L17,0)</f>
        <v>19.079375</v>
      </c>
      <c r="N17" s="76" t="n">
        <v>39.99</v>
      </c>
      <c r="O17" s="76" t="n">
        <v>3</v>
      </c>
      <c r="P17" s="78" t="n">
        <f aca="false">IFERROR(N17*$B$9,0)</f>
        <v>0</v>
      </c>
      <c r="Q17" s="76" t="n">
        <v>1.5</v>
      </c>
      <c r="R17" s="79" t="n">
        <v>200</v>
      </c>
      <c r="S17" s="78" t="n">
        <f aca="false">IFERROR(N17-M17,0)</f>
        <v>20.910625</v>
      </c>
      <c r="T17" s="78" t="n">
        <f aca="false">IFERROR(N17-M17-O17-P17-Q17,0)</f>
        <v>16.410625</v>
      </c>
      <c r="U17" s="81" t="n">
        <f aca="false">IFERROR(T17/N17,0)</f>
        <v>0.410368217054264</v>
      </c>
      <c r="V17" s="82" t="n">
        <f aca="false">IFERROR(T17*R17,0)</f>
        <v>3282.125</v>
      </c>
      <c r="W17" s="83" t="n">
        <f aca="false">IFERROR(MIN(100,MAX(0,ROUND(U17/$B$5*100,0))),0)</f>
        <v>100</v>
      </c>
      <c r="X17" s="78" t="n">
        <f aca="false">IFERROR((M17+O17+P17+Q17)/(1-$B$5),0)</f>
        <v>23.9384517766497</v>
      </c>
      <c r="Y17" s="78" t="n">
        <f aca="false">IFERROR(X17-N17,0)</f>
        <v>-16.0515482233503</v>
      </c>
      <c r="Z17" s="82" t="n">
        <f aca="false">IFERROR(IF(Y17&gt;0,Y17*R17,0),0)</f>
        <v>0</v>
      </c>
      <c r="AA17" s="84" t="n">
        <f aca="false">IFERROR(E17*(1+$B$8),0)</f>
        <v>1.1774</v>
      </c>
      <c r="AB17" s="78" t="n">
        <f aca="false">IFERROR(N17-(D17/AA17)-I17-IF(B17="Import",(D17/AA17+I17)*J17,0)-IF(B17="Import",(D17/AA17+I17)*J17*$E$5,0)-O17-(N17*$B$9)-Q17,0)</f>
        <v>16.8665703032105</v>
      </c>
      <c r="AC17" s="78" t="n">
        <f aca="false">IFERROR(T17-AB17,0)</f>
        <v>-0.455945303210463</v>
      </c>
      <c r="AD17" s="81" t="n">
        <f aca="false">IFERROR(V17/SUM($V$15:$V$44),0)</f>
        <v>0.0488762431223552</v>
      </c>
      <c r="AE17" s="83" t="str">
        <f aca="false">IFERROR(IF(RANK(V17,V$15:V$44,0)/COUNTA(A$15:A$44)&lt;=0.2,"A",IF(RANK(V17,V$15:V$44,0)/COUNTA(A$15:A$44)&lt;=0.5,"B","C")),"-")</f>
        <v>A</v>
      </c>
      <c r="AF17" s="85" t="s">
        <v>365</v>
      </c>
      <c r="AG17" s="83" t="n">
        <f aca="true">IFERROR(IF(AF17="","",DATEDIF(AF17,TODAY(),"M")),"")</f>
        <v>38</v>
      </c>
      <c r="AH17" s="83" t="str">
        <f aca="false">IFERROR(IF(AG17="","-",IF(AG17&lt;6,"Launch",IF(AG17&lt;18,"Growth",IF(AG17&lt;48,"Mature","Decline")))),"-")</f>
        <v>Mature</v>
      </c>
      <c r="AI17" s="83" t="str">
        <f aca="false">IFERROR(IF(T17&lt;0,"DELETE - loss-making",IF(U17&lt;$B$7,"REPRICE - below margin floor",IF(U17&lt;$B$6,"Review pricing",IF(U17&lt;$B$5,"Maintain - below target","Protect &amp; Grow")))),"-")</f>
        <v>Protect &amp; Grow</v>
      </c>
    </row>
    <row r="18" customFormat="false" ht="21.75" hidden="false" customHeight="true" outlineLevel="0" collapsed="false">
      <c r="A18" s="75" t="s">
        <v>156</v>
      </c>
      <c r="B18" s="75" t="s">
        <v>133</v>
      </c>
      <c r="C18" s="75" t="s">
        <v>364</v>
      </c>
      <c r="D18" s="76" t="n">
        <v>24</v>
      </c>
      <c r="E18" s="77" t="n">
        <v>1.16</v>
      </c>
      <c r="F18" s="78" t="n">
        <f aca="false">IFERROR(D18/E18,0)</f>
        <v>20.6896551724138</v>
      </c>
      <c r="G18" s="79" t="n">
        <v>500</v>
      </c>
      <c r="H18" s="79" t="n">
        <v>40</v>
      </c>
      <c r="I18" s="78" t="n">
        <f aca="false">IFERROR(IF(OR(H18=0,H18=""),0,G18/H18),0)</f>
        <v>12.5</v>
      </c>
      <c r="J18" s="80" t="n">
        <v>0.05</v>
      </c>
      <c r="K18" s="78" t="n">
        <f aca="false">IFERROR(IF(B18="Import",(F18+I18)*J18,0),0)</f>
        <v>1.65948275862069</v>
      </c>
      <c r="L18" s="78" t="n">
        <f aca="false">IFERROR(IF(B18="Import",(F18+I18+K18)*$E$5,0),0)</f>
        <v>0.522737068965517</v>
      </c>
      <c r="M18" s="78" t="n">
        <f aca="false">IFERROR(F18+I18+K18+L18,0)</f>
        <v>35.371875</v>
      </c>
      <c r="N18" s="76" t="n">
        <v>69.99</v>
      </c>
      <c r="O18" s="76" t="n">
        <v>5</v>
      </c>
      <c r="P18" s="78" t="n">
        <f aca="false">IFERROR(N18*$B$9,0)</f>
        <v>0</v>
      </c>
      <c r="Q18" s="76" t="n">
        <v>2.5</v>
      </c>
      <c r="R18" s="79" t="n">
        <v>95</v>
      </c>
      <c r="S18" s="78" t="n">
        <f aca="false">IFERROR(N18-M18,0)</f>
        <v>34.618125</v>
      </c>
      <c r="T18" s="78" t="n">
        <f aca="false">IFERROR(N18-M18-O18-P18-Q18,0)</f>
        <v>27.118125</v>
      </c>
      <c r="U18" s="81" t="n">
        <f aca="false">IFERROR(T18/N18,0)</f>
        <v>0.387457136733819</v>
      </c>
      <c r="V18" s="82" t="n">
        <f aca="false">IFERROR(T18*R18,0)</f>
        <v>2576.221875</v>
      </c>
      <c r="W18" s="83" t="n">
        <f aca="false">IFERROR(MIN(100,MAX(0,ROUND(U18/$B$5*100,0))),0)</f>
        <v>100</v>
      </c>
      <c r="X18" s="78" t="n">
        <f aca="false">IFERROR((M18+O18+P18+Q18)/(1-$B$5),0)</f>
        <v>43.5247461928934</v>
      </c>
      <c r="Y18" s="78" t="n">
        <f aca="false">IFERROR(X18-N18,0)</f>
        <v>-26.4652538071066</v>
      </c>
      <c r="Z18" s="82" t="n">
        <f aca="false">IFERROR(IF(Y18&gt;0,Y18*R18,0),0)</f>
        <v>0</v>
      </c>
      <c r="AA18" s="84" t="n">
        <f aca="false">IFERROR(E18*(1+$B$8),0)</f>
        <v>1.1774</v>
      </c>
      <c r="AB18" s="78" t="n">
        <f aca="false">IFERROR(N18-(D18/AA18)-I18-IF(B18="Import",(D18/AA18+I18)*J18,0)-IF(B18="Import",(D18/AA18+I18)*J18*$E$5,0)-O18-(N18*$B$9)-Q18,0)</f>
        <v>27.9372455197894</v>
      </c>
      <c r="AC18" s="78" t="n">
        <f aca="false">IFERROR(T18-AB18,0)</f>
        <v>-0.819120519789365</v>
      </c>
      <c r="AD18" s="81" t="n">
        <f aca="false">IFERROR(V18/SUM($V$15:$V$44),0)</f>
        <v>0.0383641837832592</v>
      </c>
      <c r="AE18" s="83" t="str">
        <f aca="false">IFERROR(IF(RANK(V18,V$15:V$44,0)/COUNTA(A$15:A$44)&lt;=0.2,"A",IF(RANK(V18,V$15:V$44,0)/COUNTA(A$15:A$44)&lt;=0.5,"B","C")),"-")</f>
        <v>B</v>
      </c>
      <c r="AF18" s="85" t="s">
        <v>366</v>
      </c>
      <c r="AG18" s="83" t="n">
        <f aca="true">IFERROR(IF(AF18="","",DATEDIF(AF18,TODAY(),"M")),"")</f>
        <v>57</v>
      </c>
      <c r="AH18" s="83" t="str">
        <f aca="false">IFERROR(IF(AG18="","-",IF(AG18&lt;6,"Launch",IF(AG18&lt;18,"Growth",IF(AG18&lt;48,"Mature","Decline")))),"-")</f>
        <v>Decline</v>
      </c>
      <c r="AI18" s="83" t="str">
        <f aca="false">IFERROR(IF(T18&lt;0,"DELETE - loss-making",IF(U18&lt;$B$7,"REPRICE - below margin floor",IF(U18&lt;$B$6,"Review pricing",IF(U18&lt;$B$5,"Maintain - below target","Protect &amp; Grow")))),"-")</f>
        <v>Protect &amp; Grow</v>
      </c>
    </row>
    <row r="19" customFormat="false" ht="21.75" hidden="false" customHeight="true" outlineLevel="0" collapsed="false">
      <c r="A19" s="75" t="s">
        <v>157</v>
      </c>
      <c r="B19" s="75" t="s">
        <v>367</v>
      </c>
      <c r="C19" s="75" t="s">
        <v>368</v>
      </c>
      <c r="D19" s="76" t="n">
        <v>9.5</v>
      </c>
      <c r="E19" s="77" t="n">
        <v>1</v>
      </c>
      <c r="F19" s="78" t="n">
        <f aca="false">IFERROR(D19/E19,0)</f>
        <v>9.5</v>
      </c>
      <c r="I19" s="78" t="n">
        <f aca="false">IFERROR(IF(OR(H19=0,H19=""),0,G19/H19),0)</f>
        <v>0</v>
      </c>
      <c r="J19" s="80" t="n">
        <v>0</v>
      </c>
      <c r="K19" s="78" t="n">
        <f aca="false">IFERROR(IF(B19="Import",(F19+I19)*J19,0),0)</f>
        <v>0</v>
      </c>
      <c r="L19" s="78" t="n">
        <f aca="false">IFERROR(IF(B19="Import",(F19+I19+K19)*$E$5,0),0)</f>
        <v>0</v>
      </c>
      <c r="M19" s="78" t="n">
        <f aca="false">IFERROR(F19+I19+K19+L19,0)</f>
        <v>9.5</v>
      </c>
      <c r="N19" s="76" t="n">
        <v>29.99</v>
      </c>
      <c r="O19" s="76" t="n">
        <v>2.5</v>
      </c>
      <c r="P19" s="78" t="n">
        <f aca="false">IFERROR(N19*$B$9,0)</f>
        <v>0</v>
      </c>
      <c r="Q19" s="76" t="n">
        <v>1</v>
      </c>
      <c r="R19" s="79" t="n">
        <v>180</v>
      </c>
      <c r="S19" s="78" t="n">
        <f aca="false">IFERROR(N19-M19,0)</f>
        <v>20.49</v>
      </c>
      <c r="T19" s="78" t="n">
        <f aca="false">IFERROR(N19-M19-O19-P19-Q19,0)</f>
        <v>16.99</v>
      </c>
      <c r="U19" s="81" t="n">
        <f aca="false">IFERROR(T19/N19,0)</f>
        <v>0.566522174058019</v>
      </c>
      <c r="V19" s="82" t="n">
        <f aca="false">IFERROR(T19*R19,0)</f>
        <v>3058.2</v>
      </c>
      <c r="W19" s="83" t="n">
        <f aca="false">IFERROR(MIN(100,MAX(0,ROUND(U19/$B$5*100,0))),0)</f>
        <v>100</v>
      </c>
      <c r="X19" s="78" t="n">
        <f aca="false">IFERROR((M19+O19+P19+Q19)/(1-$B$5),0)</f>
        <v>13.1979695431472</v>
      </c>
      <c r="Y19" s="78" t="n">
        <f aca="false">IFERROR(X19-N19,0)</f>
        <v>-16.7920304568528</v>
      </c>
      <c r="Z19" s="82" t="n">
        <f aca="false">IFERROR(IF(Y19&gt;0,Y19*R19,0),0)</f>
        <v>0</v>
      </c>
      <c r="AA19" s="84" t="n">
        <f aca="false">IFERROR(E19*(1+$B$8),0)</f>
        <v>1.015</v>
      </c>
      <c r="AB19" s="78" t="n">
        <f aca="false">IFERROR(N19-(D19/AA19)-I19-IF(B19="Import",(D19/AA19+I19)*J19,0)-IF(B19="Import",(D19/AA19+I19)*J19*$E$5,0)-O19-(N19*$B$9)-Q19,0)</f>
        <v>17.13039408867</v>
      </c>
      <c r="AC19" s="78" t="n">
        <f aca="false">IFERROR(T19-AB19,0)</f>
        <v>-0.14039408866995</v>
      </c>
      <c r="AD19" s="81" t="n">
        <f aca="false">IFERROR(V19/SUM($V$15:$V$44),0)</f>
        <v>0.045541631326286</v>
      </c>
      <c r="AE19" s="83" t="str">
        <f aca="false">IFERROR(IF(RANK(V19,V$15:V$44,0)/COUNTA(A$15:A$44)&lt;=0.2,"A",IF(RANK(V19,V$15:V$44,0)/COUNTA(A$15:A$44)&lt;=0.5,"B","C")),"-")</f>
        <v>B</v>
      </c>
      <c r="AF19" s="85" t="s">
        <v>369</v>
      </c>
      <c r="AG19" s="83" t="n">
        <f aca="true">IFERROR(IF(AF19="","",DATEDIF(AF19,TODAY(),"M")),"")</f>
        <v>7</v>
      </c>
      <c r="AH19" s="83" t="str">
        <f aca="false">IFERROR(IF(AG19="","-",IF(AG19&lt;6,"Launch",IF(AG19&lt;18,"Growth",IF(AG19&lt;48,"Mature","Decline")))),"-")</f>
        <v>Growth</v>
      </c>
      <c r="AI19" s="83" t="str">
        <f aca="false">IFERROR(IF(T19&lt;0,"DELETE - loss-making",IF(U19&lt;$B$7,"REPRICE - below margin floor",IF(U19&lt;$B$6,"Review pricing",IF(U19&lt;$B$5,"Maintain - below target","Protect &amp; Grow")))),"-")</f>
        <v>Protect &amp; Grow</v>
      </c>
    </row>
    <row r="20" customFormat="false" ht="21.75" hidden="false" customHeight="true" outlineLevel="0" collapsed="false">
      <c r="A20" s="75" t="s">
        <v>158</v>
      </c>
      <c r="B20" s="75" t="s">
        <v>133</v>
      </c>
      <c r="C20" s="75" t="s">
        <v>361</v>
      </c>
      <c r="D20" s="76" t="n">
        <v>16</v>
      </c>
      <c r="E20" s="77" t="n">
        <v>1.27</v>
      </c>
      <c r="F20" s="78" t="n">
        <f aca="false">IFERROR(D20/E20,0)</f>
        <v>12.5984251968504</v>
      </c>
      <c r="G20" s="79" t="n">
        <v>400</v>
      </c>
      <c r="H20" s="79" t="n">
        <v>45</v>
      </c>
      <c r="I20" s="78" t="n">
        <f aca="false">IFERROR(IF(OR(H20=0,H20=""),0,G20/H20),0)</f>
        <v>8.88888888888889</v>
      </c>
      <c r="J20" s="80" t="n">
        <v>0.05</v>
      </c>
      <c r="K20" s="78" t="n">
        <f aca="false">IFERROR(IF(B20="Import",(F20+I20)*J20,0),0)</f>
        <v>1.07436570428696</v>
      </c>
      <c r="L20" s="78" t="n">
        <f aca="false">IFERROR(IF(B20="Import",(F20+I20+K20)*$E$5,0),0)</f>
        <v>0.338425196850394</v>
      </c>
      <c r="M20" s="78" t="n">
        <f aca="false">IFERROR(F20+I20+K20+L20,0)</f>
        <v>22.9001049868766</v>
      </c>
      <c r="N20" s="76" t="n">
        <v>59.99</v>
      </c>
      <c r="O20" s="76" t="n">
        <v>4.5</v>
      </c>
      <c r="P20" s="78" t="n">
        <f aca="false">IFERROR(N20*$B$9,0)</f>
        <v>0</v>
      </c>
      <c r="Q20" s="76" t="n">
        <v>2</v>
      </c>
      <c r="R20" s="79" t="n">
        <v>110</v>
      </c>
      <c r="S20" s="78" t="n">
        <f aca="false">IFERROR(N20-M20,0)</f>
        <v>37.0898950131234</v>
      </c>
      <c r="T20" s="78" t="n">
        <f aca="false">IFERROR(N20-M20-O20-P20-Q20,0)</f>
        <v>30.5898950131234</v>
      </c>
      <c r="U20" s="81" t="n">
        <f aca="false">IFERROR(T20/N20,0)</f>
        <v>0.509916569646997</v>
      </c>
      <c r="V20" s="82" t="n">
        <f aca="false">IFERROR(T20*R20,0)</f>
        <v>3364.88845144357</v>
      </c>
      <c r="W20" s="83" t="n">
        <f aca="false">IFERROR(MIN(100,MAX(0,ROUND(U20/$B$5*100,0))),0)</f>
        <v>100</v>
      </c>
      <c r="X20" s="78" t="n">
        <f aca="false">IFERROR((M20+O20+P20+Q20)/(1-$B$5),0)</f>
        <v>29.8478223217022</v>
      </c>
      <c r="Y20" s="78" t="n">
        <f aca="false">IFERROR(X20-N20,0)</f>
        <v>-30.1421776782978</v>
      </c>
      <c r="Z20" s="82" t="n">
        <f aca="false">IFERROR(IF(Y20&gt;0,Y20*R20,0),0)</f>
        <v>0</v>
      </c>
      <c r="AA20" s="84" t="n">
        <f aca="false">IFERROR(E20*(1+$B$8),0)</f>
        <v>1.28905</v>
      </c>
      <c r="AB20" s="78" t="n">
        <f aca="false">IFERROR(N20-(D20/AA20)-I20-IF(B20="Import",(D20/AA20+I20)*J20,0)-IF(B20="Import",(D20/AA20+I20)*J20*$E$5,0)-O20-(N20*$B$9)-Q20,0)</f>
        <v>31.1078371669059</v>
      </c>
      <c r="AC20" s="78" t="n">
        <f aca="false">IFERROR(T20-AB20,0)</f>
        <v>-0.517942153782499</v>
      </c>
      <c r="AD20" s="81" t="n">
        <f aca="false">IFERROR(V20/SUM($V$15:$V$44),0)</f>
        <v>0.0501087271302467</v>
      </c>
      <c r="AE20" s="83" t="str">
        <f aca="false">IFERROR(IF(RANK(V20,V$15:V$44,0)/COUNTA(A$15:A$44)&lt;=0.2,"A",IF(RANK(V20,V$15:V$44,0)/COUNTA(A$15:A$44)&lt;=0.5,"B","C")),"-")</f>
        <v>A</v>
      </c>
      <c r="AF20" s="85" t="s">
        <v>370</v>
      </c>
      <c r="AG20" s="83" t="n">
        <f aca="true">IFERROR(IF(AF20="","",DATEDIF(AF20,TODAY(),"M")),"")</f>
        <v>16</v>
      </c>
      <c r="AH20" s="83" t="str">
        <f aca="false">IFERROR(IF(AG20="","-",IF(AG20&lt;6,"Launch",IF(AG20&lt;18,"Growth",IF(AG20&lt;48,"Mature","Decline")))),"-")</f>
        <v>Growth</v>
      </c>
      <c r="AI20" s="83" t="str">
        <f aca="false">IFERROR(IF(T20&lt;0,"DELETE - loss-making",IF(U20&lt;$B$7,"REPRICE - below margin floor",IF(U20&lt;$B$6,"Review pricing",IF(U20&lt;$B$5,"Maintain - below target","Protect &amp; Grow")))),"-")</f>
        <v>Protect &amp; Grow</v>
      </c>
    </row>
    <row r="21" customFormat="false" ht="21.75" hidden="false" customHeight="true" outlineLevel="0" collapsed="false">
      <c r="A21" s="75" t="s">
        <v>159</v>
      </c>
      <c r="B21" s="75" t="s">
        <v>133</v>
      </c>
      <c r="C21" s="75" t="s">
        <v>361</v>
      </c>
      <c r="D21" s="76" t="n">
        <v>48</v>
      </c>
      <c r="E21" s="77" t="n">
        <v>1.27</v>
      </c>
      <c r="F21" s="78" t="n">
        <f aca="false">IFERROR(D21/E21,0)</f>
        <v>37.7952755905512</v>
      </c>
      <c r="G21" s="79" t="n">
        <v>800</v>
      </c>
      <c r="H21" s="79" t="n">
        <v>25</v>
      </c>
      <c r="I21" s="78" t="n">
        <f aca="false">IFERROR(IF(OR(H21=0,H21=""),0,G21/H21),0)</f>
        <v>32</v>
      </c>
      <c r="J21" s="80" t="n">
        <v>0.05</v>
      </c>
      <c r="K21" s="78" t="n">
        <f aca="false">IFERROR(IF(B21="Import",(F21+I21)*J21,0),0)</f>
        <v>3.48976377952756</v>
      </c>
      <c r="L21" s="78" t="n">
        <f aca="false">IFERROR(IF(B21="Import",(F21+I21+K21)*$E$5,0),0)</f>
        <v>1.09927559055118</v>
      </c>
      <c r="M21" s="78" t="n">
        <f aca="false">IFERROR(F21+I21+K21+L21,0)</f>
        <v>74.3843149606299</v>
      </c>
      <c r="N21" s="76" t="n">
        <v>129.99</v>
      </c>
      <c r="O21" s="76" t="n">
        <v>8</v>
      </c>
      <c r="P21" s="78" t="n">
        <f aca="false">IFERROR(N21*$B$9,0)</f>
        <v>0</v>
      </c>
      <c r="Q21" s="76" t="n">
        <v>5</v>
      </c>
      <c r="R21" s="79" t="n">
        <v>40</v>
      </c>
      <c r="S21" s="78" t="n">
        <f aca="false">IFERROR(N21-M21,0)</f>
        <v>55.6056850393701</v>
      </c>
      <c r="T21" s="78" t="n">
        <f aca="false">IFERROR(N21-M21-O21-P21-Q21,0)</f>
        <v>42.6056850393701</v>
      </c>
      <c r="U21" s="81" t="n">
        <f aca="false">IFERROR(T21/N21,0)</f>
        <v>0.327761251168321</v>
      </c>
      <c r="V21" s="82" t="n">
        <f aca="false">IFERROR(T21*R21,0)</f>
        <v>1704.2274015748</v>
      </c>
      <c r="W21" s="83" t="n">
        <f aca="false">IFERROR(MIN(100,MAX(0,ROUND(U21/$B$5*100,0))),0)</f>
        <v>100</v>
      </c>
      <c r="X21" s="78" t="n">
        <f aca="false">IFERROR((M21+O21+P21+Q21)/(1-$B$5),0)</f>
        <v>88.7150405691674</v>
      </c>
      <c r="Y21" s="78" t="n">
        <f aca="false">IFERROR(X21-N21,0)</f>
        <v>-41.2749594308326</v>
      </c>
      <c r="Z21" s="82" t="n">
        <f aca="false">IFERROR(IF(Y21&gt;0,Y21*R21,0),0)</f>
        <v>0</v>
      </c>
      <c r="AA21" s="84" t="n">
        <f aca="false">IFERROR(E21*(1+$B$8),0)</f>
        <v>1.28905</v>
      </c>
      <c r="AB21" s="78" t="n">
        <f aca="false">IFERROR(N21-(D21/AA21)-I21-IF(B21="Import",(D21/AA21+I21)*J21,0)-IF(B21="Import",(D21/AA21+I21)*J21*$E$5,0)-O21-(N21*$B$9)-Q21,0)</f>
        <v>44.2395115007176</v>
      </c>
      <c r="AC21" s="78" t="n">
        <f aca="false">IFERROR(T21-AB21,0)</f>
        <v>-1.6338264613475</v>
      </c>
      <c r="AD21" s="81" t="n">
        <f aca="false">IFERROR(V21/SUM($V$15:$V$44),0)</f>
        <v>0.025378750905328</v>
      </c>
      <c r="AE21" s="83" t="str">
        <f aca="false">IFERROR(IF(RANK(V21,V$15:V$44,0)/COUNTA(A$15:A$44)&lt;=0.2,"A",IF(RANK(V21,V$15:V$44,0)/COUNTA(A$15:A$44)&lt;=0.5,"B","C")),"-")</f>
        <v>C</v>
      </c>
      <c r="AF21" s="85" t="s">
        <v>371</v>
      </c>
      <c r="AG21" s="83" t="n">
        <f aca="true">IFERROR(IF(AF21="","",DATEDIF(AF21,TODAY(),"M")),"")</f>
        <v>16</v>
      </c>
      <c r="AH21" s="83" t="str">
        <f aca="false">IFERROR(IF(AG21="","-",IF(AG21&lt;6,"Launch",IF(AG21&lt;18,"Growth",IF(AG21&lt;48,"Mature","Decline")))),"-")</f>
        <v>Growth</v>
      </c>
      <c r="AI21" s="83" t="str">
        <f aca="false">IFERROR(IF(T21&lt;0,"DELETE - loss-making",IF(U21&lt;$B$7,"REPRICE - below margin floor",IF(U21&lt;$B$6,"Review pricing",IF(U21&lt;$B$5,"Maintain - below target","Protect &amp; Grow")))),"-")</f>
        <v>Protect &amp; Grow</v>
      </c>
    </row>
    <row r="22" customFormat="false" ht="21.75" hidden="false" customHeight="true" outlineLevel="0" collapsed="false">
      <c r="A22" s="75" t="s">
        <v>160</v>
      </c>
      <c r="B22" s="75" t="s">
        <v>133</v>
      </c>
      <c r="C22" s="75" t="s">
        <v>364</v>
      </c>
      <c r="D22" s="76" t="n">
        <v>16</v>
      </c>
      <c r="E22" s="77" t="n">
        <v>1.16</v>
      </c>
      <c r="F22" s="78" t="n">
        <f aca="false">IFERROR(D22/E22,0)</f>
        <v>13.7931034482759</v>
      </c>
      <c r="G22" s="79" t="n">
        <v>420</v>
      </c>
      <c r="H22" s="79" t="n">
        <v>50</v>
      </c>
      <c r="I22" s="78" t="n">
        <f aca="false">IFERROR(IF(OR(H22=0,H22=""),0,G22/H22),0)</f>
        <v>8.4</v>
      </c>
      <c r="J22" s="80" t="n">
        <v>0.05</v>
      </c>
      <c r="K22" s="78" t="n">
        <f aca="false">IFERROR(IF(B22="Import",(F22+I22)*J22,0),0)</f>
        <v>1.10965517241379</v>
      </c>
      <c r="L22" s="78" t="n">
        <f aca="false">IFERROR(IF(B22="Import",(F22+I22+K22)*$E$5,0),0)</f>
        <v>0.349541379310345</v>
      </c>
      <c r="M22" s="78" t="n">
        <f aca="false">IFERROR(F22+I22+K22+L22,0)</f>
        <v>23.6523</v>
      </c>
      <c r="N22" s="76" t="n">
        <v>49.99</v>
      </c>
      <c r="O22" s="76" t="n">
        <v>3.5</v>
      </c>
      <c r="P22" s="78" t="n">
        <f aca="false">IFERROR(N22*$B$9,0)</f>
        <v>0</v>
      </c>
      <c r="Q22" s="76" t="n">
        <v>2</v>
      </c>
      <c r="R22" s="79" t="n">
        <v>90</v>
      </c>
      <c r="S22" s="78" t="n">
        <f aca="false">IFERROR(N22-M22,0)</f>
        <v>26.3377</v>
      </c>
      <c r="T22" s="78" t="n">
        <f aca="false">IFERROR(N22-M22-O22-P22-Q22,0)</f>
        <v>20.8377</v>
      </c>
      <c r="U22" s="81" t="n">
        <f aca="false">IFERROR(T22/N22,0)</f>
        <v>0.416837367473495</v>
      </c>
      <c r="V22" s="82" t="n">
        <f aca="false">IFERROR(T22*R22,0)</f>
        <v>1875.393</v>
      </c>
      <c r="W22" s="83" t="n">
        <f aca="false">IFERROR(MIN(100,MAX(0,ROUND(U22/$B$5*100,0))),0)</f>
        <v>100</v>
      </c>
      <c r="X22" s="78" t="n">
        <f aca="false">IFERROR((M22+O22+P22+Q22)/(1-$B$5),0)</f>
        <v>29.5962436548223</v>
      </c>
      <c r="Y22" s="78" t="n">
        <f aca="false">IFERROR(X22-N22,0)</f>
        <v>-20.3937563451777</v>
      </c>
      <c r="Z22" s="82" t="n">
        <f aca="false">IFERROR(IF(Y22&gt;0,Y22*R22,0),0)</f>
        <v>0</v>
      </c>
      <c r="AA22" s="84" t="n">
        <f aca="false">IFERROR(E22*(1+$B$8),0)</f>
        <v>1.1774</v>
      </c>
      <c r="AB22" s="78" t="n">
        <f aca="false">IFERROR(N22-(D22/AA22)-I22-IF(B22="Import",(D22/AA22+I22)*J22,0)-IF(B22="Import",(D22/AA22+I22)*J22*$E$5,0)-O22-(N22*$B$9)-Q22,0)</f>
        <v>21.3847803465263</v>
      </c>
      <c r="AC22" s="78" t="n">
        <f aca="false">IFERROR(T22-AB22,0)</f>
        <v>-0.547080346526247</v>
      </c>
      <c r="AD22" s="81" t="n">
        <f aca="false">IFERROR(V22/SUM($V$15:$V$44),0)</f>
        <v>0.0279276883780974</v>
      </c>
      <c r="AE22" s="83" t="str">
        <f aca="false">IFERROR(IF(RANK(V22,V$15:V$44,0)/COUNTA(A$15:A$44)&lt;=0.2,"A",IF(RANK(V22,V$15:V$44,0)/COUNTA(A$15:A$44)&lt;=0.5,"B","C")),"-")</f>
        <v>C</v>
      </c>
      <c r="AF22" s="85" t="s">
        <v>372</v>
      </c>
      <c r="AG22" s="83" t="n">
        <f aca="true">IFERROR(IF(AF22="","",DATEDIF(AF22,TODAY(),"M")),"")</f>
        <v>16</v>
      </c>
      <c r="AH22" s="83" t="str">
        <f aca="false">IFERROR(IF(AG22="","-",IF(AG22&lt;6,"Launch",IF(AG22&lt;18,"Growth",IF(AG22&lt;48,"Mature","Decline")))),"-")</f>
        <v>Growth</v>
      </c>
      <c r="AI22" s="83" t="str">
        <f aca="false">IFERROR(IF(T22&lt;0,"DELETE - loss-making",IF(U22&lt;$B$7,"REPRICE - below margin floor",IF(U22&lt;$B$6,"Review pricing",IF(U22&lt;$B$5,"Maintain - below target","Protect &amp; Grow")))),"-")</f>
        <v>Protect &amp; Grow</v>
      </c>
    </row>
    <row r="23" customFormat="false" ht="21.75" hidden="false" customHeight="true" outlineLevel="0" collapsed="false">
      <c r="A23" s="75" t="s">
        <v>161</v>
      </c>
      <c r="B23" s="75" t="s">
        <v>133</v>
      </c>
      <c r="C23" s="75" t="s">
        <v>361</v>
      </c>
      <c r="D23" s="76" t="n">
        <v>28</v>
      </c>
      <c r="E23" s="77" t="n">
        <v>1.27</v>
      </c>
      <c r="F23" s="78" t="n">
        <f aca="false">IFERROR(D23/E23,0)</f>
        <v>22.0472440944882</v>
      </c>
      <c r="G23" s="79" t="n">
        <v>550</v>
      </c>
      <c r="H23" s="79" t="n">
        <v>35</v>
      </c>
      <c r="I23" s="78" t="n">
        <f aca="false">IFERROR(IF(OR(H23=0,H23=""),0,G23/H23),0)</f>
        <v>15.7142857142857</v>
      </c>
      <c r="J23" s="80" t="n">
        <v>0.05</v>
      </c>
      <c r="K23" s="78" t="n">
        <f aca="false">IFERROR(IF(B23="Import",(F23+I23)*J23,0),0)</f>
        <v>1.8880764904387</v>
      </c>
      <c r="L23" s="78" t="n">
        <f aca="false">IFERROR(IF(B23="Import",(F23+I23+K23)*$E$5,0),0)</f>
        <v>0.594744094488189</v>
      </c>
      <c r="M23" s="78" t="n">
        <f aca="false">IFERROR(F23+I23+K23+L23,0)</f>
        <v>40.2443503937008</v>
      </c>
      <c r="N23" s="76" t="n">
        <v>79.99</v>
      </c>
      <c r="O23" s="76" t="n">
        <v>5.5</v>
      </c>
      <c r="P23" s="78" t="n">
        <f aca="false">IFERROR(N23*$B$9,0)</f>
        <v>0</v>
      </c>
      <c r="Q23" s="76" t="n">
        <v>3</v>
      </c>
      <c r="R23" s="79" t="n">
        <v>65</v>
      </c>
      <c r="S23" s="78" t="n">
        <f aca="false">IFERROR(N23-M23,0)</f>
        <v>39.7456496062992</v>
      </c>
      <c r="T23" s="78" t="n">
        <f aca="false">IFERROR(N23-M23-O23-P23-Q23,0)</f>
        <v>31.2456496062992</v>
      </c>
      <c r="U23" s="81" t="n">
        <f aca="false">IFERROR(T23/N23,0)</f>
        <v>0.390619447509679</v>
      </c>
      <c r="V23" s="82" t="n">
        <f aca="false">IFERROR(T23*R23,0)</f>
        <v>2030.96722440945</v>
      </c>
      <c r="W23" s="83" t="n">
        <f aca="false">IFERROR(MIN(100,MAX(0,ROUND(U23/$B$5*100,0))),0)</f>
        <v>100</v>
      </c>
      <c r="X23" s="78" t="n">
        <f aca="false">IFERROR((M23+O23+P23+Q23)/(1-$B$5),0)</f>
        <v>49.4866501458891</v>
      </c>
      <c r="Y23" s="78" t="n">
        <f aca="false">IFERROR(X23-N23,0)</f>
        <v>-30.5033498541109</v>
      </c>
      <c r="Z23" s="82" t="n">
        <f aca="false">IFERROR(IF(Y23&gt;0,Y23*R23,0),0)</f>
        <v>0</v>
      </c>
      <c r="AA23" s="84" t="n">
        <f aca="false">IFERROR(E23*(1+$B$8),0)</f>
        <v>1.28905</v>
      </c>
      <c r="AB23" s="78" t="n">
        <f aca="false">IFERROR(N23-(D23/AA23)-I23-IF(B23="Import",(D23/AA23+I23)*J23,0)-IF(B23="Import",(D23/AA23+I23)*J23*$E$5,0)-O23-(N23*$B$9)-Q23,0)</f>
        <v>32.1544293277995</v>
      </c>
      <c r="AC23" s="78" t="n">
        <f aca="false">IFERROR(T23-AB23,0)</f>
        <v>-0.908779721500324</v>
      </c>
      <c r="AD23" s="81" t="n">
        <f aca="false">IFERROR(V23/SUM($V$15:$V$44),0)</f>
        <v>0.0302444446307715</v>
      </c>
      <c r="AE23" s="83" t="str">
        <f aca="false">IFERROR(IF(RANK(V23,V$15:V$44,0)/COUNTA(A$15:A$44)&lt;=0.2,"A",IF(RANK(V23,V$15:V$44,0)/COUNTA(A$15:A$44)&lt;=0.5,"B","C")),"-")</f>
        <v>C</v>
      </c>
      <c r="AF23" s="85" t="s">
        <v>373</v>
      </c>
      <c r="AG23" s="83" t="n">
        <f aca="true">IFERROR(IF(AF23="","",DATEDIF(AF23,TODAY(),"M")),"")</f>
        <v>16</v>
      </c>
      <c r="AH23" s="83" t="str">
        <f aca="false">IFERROR(IF(AG23="","-",IF(AG23&lt;6,"Launch",IF(AG23&lt;18,"Growth",IF(AG23&lt;48,"Mature","Decline")))),"-")</f>
        <v>Growth</v>
      </c>
      <c r="AI23" s="83" t="str">
        <f aca="false">IFERROR(IF(T23&lt;0,"DELETE - loss-making",IF(U23&lt;$B$7,"REPRICE - below margin floor",IF(U23&lt;$B$6,"Review pricing",IF(U23&lt;$B$5,"Maintain - below target","Protect &amp; Grow")))),"-")</f>
        <v>Protect &amp; Grow</v>
      </c>
    </row>
    <row r="24" customFormat="false" ht="21.75" hidden="false" customHeight="true" outlineLevel="0" collapsed="false">
      <c r="A24" s="75" t="s">
        <v>162</v>
      </c>
      <c r="B24" s="75" t="s">
        <v>133</v>
      </c>
      <c r="C24" s="75" t="s">
        <v>361</v>
      </c>
      <c r="D24" s="76" t="n">
        <v>35</v>
      </c>
      <c r="E24" s="77" t="n">
        <v>1.27</v>
      </c>
      <c r="F24" s="78" t="n">
        <f aca="false">IFERROR(D24/E24,0)</f>
        <v>27.5590551181102</v>
      </c>
      <c r="G24" s="79" t="n">
        <v>650</v>
      </c>
      <c r="H24" s="79" t="n">
        <v>30</v>
      </c>
      <c r="I24" s="78" t="n">
        <f aca="false">IFERROR(IF(OR(H24=0,H24=""),0,G24/H24),0)</f>
        <v>21.6666666666667</v>
      </c>
      <c r="J24" s="80" t="n">
        <v>0.05</v>
      </c>
      <c r="K24" s="78" t="n">
        <f aca="false">IFERROR(IF(B24="Import",(F24+I24)*J24,0),0)</f>
        <v>2.46128608923885</v>
      </c>
      <c r="L24" s="78" t="n">
        <f aca="false">IFERROR(IF(B24="Import",(F24+I24+K24)*$E$5,0),0)</f>
        <v>0.775305118110236</v>
      </c>
      <c r="M24" s="78" t="n">
        <f aca="false">IFERROR(F24+I24+K24+L24,0)</f>
        <v>52.462312992126</v>
      </c>
      <c r="N24" s="76" t="n">
        <v>99.99</v>
      </c>
      <c r="O24" s="76" t="n">
        <v>7</v>
      </c>
      <c r="P24" s="78" t="n">
        <f aca="false">IFERROR(N24*$B$9,0)</f>
        <v>0</v>
      </c>
      <c r="Q24" s="76" t="n">
        <v>4</v>
      </c>
      <c r="R24" s="79" t="n">
        <v>55</v>
      </c>
      <c r="S24" s="78" t="n">
        <f aca="false">IFERROR(N24-M24,0)</f>
        <v>47.527687007874</v>
      </c>
      <c r="T24" s="78" t="n">
        <f aca="false">IFERROR(N24-M24-O24-P24-Q24,0)</f>
        <v>36.527687007874</v>
      </c>
      <c r="U24" s="81" t="n">
        <f aca="false">IFERROR(T24/N24,0)</f>
        <v>0.365313401418882</v>
      </c>
      <c r="V24" s="82" t="n">
        <f aca="false">IFERROR(T24*R24,0)</f>
        <v>2009.02278543307</v>
      </c>
      <c r="W24" s="83" t="n">
        <f aca="false">IFERROR(MIN(100,MAX(0,ROUND(U24/$B$5*100,0))),0)</f>
        <v>100</v>
      </c>
      <c r="X24" s="78" t="n">
        <f aca="false">IFERROR((M24+O24+P24+Q24)/(1-$B$5),0)</f>
        <v>64.4287441544426</v>
      </c>
      <c r="Y24" s="78" t="n">
        <f aca="false">IFERROR(X24-N24,0)</f>
        <v>-35.5612558455574</v>
      </c>
      <c r="Z24" s="82" t="n">
        <f aca="false">IFERROR(IF(Y24&gt;0,Y24*R24,0),0)</f>
        <v>0</v>
      </c>
      <c r="AA24" s="84" t="n">
        <f aca="false">IFERROR(E24*(1+$B$8),0)</f>
        <v>1.28905</v>
      </c>
      <c r="AB24" s="78" t="n">
        <f aca="false">IFERROR(N24-(D24/AA24)-I24-IF(B24="Import",(D24/AA24+I24)*J24,0)-IF(B24="Import",(D24/AA24+I24)*J24*$E$5,0)-O24-(N24*$B$9)-Q24,0)</f>
        <v>37.6940188026066</v>
      </c>
      <c r="AC24" s="78" t="n">
        <f aca="false">IFERROR(T24-AB24,0)</f>
        <v>-1.16633179473256</v>
      </c>
      <c r="AD24" s="81" t="n">
        <f aca="false">IFERROR(V24/SUM($V$15:$V$44),0)</f>
        <v>0.0299176558172458</v>
      </c>
      <c r="AE24" s="83" t="str">
        <f aca="false">IFERROR(IF(RANK(V24,V$15:V$44,0)/COUNTA(A$15:A$44)&lt;=0.2,"A",IF(RANK(V24,V$15:V$44,0)/COUNTA(A$15:A$44)&lt;=0.5,"B","C")),"-")</f>
        <v>C</v>
      </c>
      <c r="AF24" s="85" t="s">
        <v>374</v>
      </c>
      <c r="AG24" s="83" t="n">
        <f aca="true">IFERROR(IF(AF24="","",DATEDIF(AF24,TODAY(),"M")),"")</f>
        <v>16</v>
      </c>
      <c r="AH24" s="83" t="str">
        <f aca="false">IFERROR(IF(AG24="","-",IF(AG24&lt;6,"Launch",IF(AG24&lt;18,"Growth",IF(AG24&lt;48,"Mature","Decline")))),"-")</f>
        <v>Growth</v>
      </c>
      <c r="AI24" s="83" t="str">
        <f aca="false">IFERROR(IF(T24&lt;0,"DELETE - loss-making",IF(U24&lt;$B$7,"REPRICE - below margin floor",IF(U24&lt;$B$6,"Review pricing",IF(U24&lt;$B$5,"Maintain - below target","Protect &amp; Grow")))),"-")</f>
        <v>Protect &amp; Grow</v>
      </c>
    </row>
    <row r="25" customFormat="false" ht="21.75" hidden="false" customHeight="true" outlineLevel="0" collapsed="false">
      <c r="A25" s="75" t="s">
        <v>375</v>
      </c>
      <c r="B25" s="75" t="s">
        <v>367</v>
      </c>
      <c r="C25" s="75" t="s">
        <v>368</v>
      </c>
      <c r="D25" s="76" t="n">
        <v>12</v>
      </c>
      <c r="E25" s="77" t="n">
        <v>1</v>
      </c>
      <c r="F25" s="78" t="n">
        <f aca="false">IFERROR(D25/E25,0)</f>
        <v>12</v>
      </c>
      <c r="I25" s="78" t="n">
        <f aca="false">IFERROR(IF(OR(H25=0,H25=""),0,G25/H25),0)</f>
        <v>0</v>
      </c>
      <c r="J25" s="80" t="n">
        <v>0</v>
      </c>
      <c r="K25" s="78" t="n">
        <f aca="false">IFERROR(IF(B25="Import",(F25+I25)*J25,0),0)</f>
        <v>0</v>
      </c>
      <c r="L25" s="78" t="n">
        <f aca="false">IFERROR(IF(B25="Import",(F25+I25+K25)*$E$5,0),0)</f>
        <v>0</v>
      </c>
      <c r="M25" s="78" t="n">
        <f aca="false">IFERROR(F25+I25+K25+L25,0)</f>
        <v>12</v>
      </c>
      <c r="N25" s="76" t="n">
        <v>34.99</v>
      </c>
      <c r="O25" s="76" t="n">
        <v>2.5</v>
      </c>
      <c r="P25" s="78" t="n">
        <f aca="false">IFERROR(N25*$B$9,0)</f>
        <v>0</v>
      </c>
      <c r="Q25" s="76" t="n">
        <v>1.5</v>
      </c>
      <c r="R25" s="79" t="n">
        <v>130</v>
      </c>
      <c r="S25" s="78" t="n">
        <f aca="false">IFERROR(N25-M25,0)</f>
        <v>22.99</v>
      </c>
      <c r="T25" s="78" t="n">
        <f aca="false">IFERROR(N25-M25-O25-P25-Q25,0)</f>
        <v>18.99</v>
      </c>
      <c r="U25" s="81" t="n">
        <f aca="false">IFERROR(T25/N25,0)</f>
        <v>0.542726493283795</v>
      </c>
      <c r="V25" s="82" t="n">
        <f aca="false">IFERROR(T25*R25,0)</f>
        <v>2468.7</v>
      </c>
      <c r="W25" s="83" t="n">
        <f aca="false">IFERROR(MIN(100,MAX(0,ROUND(U25/$B$5*100,0))),0)</f>
        <v>100</v>
      </c>
      <c r="X25" s="78" t="n">
        <f aca="false">IFERROR((M25+O25+P25+Q25)/(1-$B$5),0)</f>
        <v>16.243654822335</v>
      </c>
      <c r="Y25" s="78" t="n">
        <f aca="false">IFERROR(X25-N25,0)</f>
        <v>-18.746345177665</v>
      </c>
      <c r="Z25" s="82" t="n">
        <f aca="false">IFERROR(IF(Y25&gt;0,Y25*R25,0),0)</f>
        <v>0</v>
      </c>
      <c r="AA25" s="84" t="n">
        <f aca="false">IFERROR(E25*(1+$B$8),0)</f>
        <v>1.015</v>
      </c>
      <c r="AB25" s="78" t="n">
        <f aca="false">IFERROR(N25-(D25/AA25)-I25-IF(B25="Import",(D25/AA25+I25)*J25,0)-IF(B25="Import",(D25/AA25+I25)*J25*$E$5,0)-O25-(N25*$B$9)-Q25,0)</f>
        <v>19.1673399014778</v>
      </c>
      <c r="AC25" s="78" t="n">
        <f aca="false">IFERROR(T25-AB25,0)</f>
        <v>-0.177339901477829</v>
      </c>
      <c r="AD25" s="81" t="n">
        <f aca="false">IFERROR(V25/SUM($V$15:$V$44),0)</f>
        <v>0.0367630061000596</v>
      </c>
      <c r="AE25" s="83" t="str">
        <f aca="false">IFERROR(IF(RANK(V25,V$15:V$44,0)/COUNTA(A$15:A$44)&lt;=0.2,"A",IF(RANK(V25,V$15:V$44,0)/COUNTA(A$15:A$44)&lt;=0.5,"B","C")),"-")</f>
        <v>B</v>
      </c>
      <c r="AF25" s="85" t="s">
        <v>376</v>
      </c>
      <c r="AG25" s="83" t="n">
        <f aca="true">IFERROR(IF(AF25="","",DATEDIF(AF25,TODAY(),"M")),"")</f>
        <v>16</v>
      </c>
      <c r="AH25" s="83" t="str">
        <f aca="false">IFERROR(IF(AG25="","-",IF(AG25&lt;6,"Launch",IF(AG25&lt;18,"Growth",IF(AG25&lt;48,"Mature","Decline")))),"-")</f>
        <v>Growth</v>
      </c>
      <c r="AI25" s="83" t="str">
        <f aca="false">IFERROR(IF(T25&lt;0,"DELETE - loss-making",IF(U25&lt;$B$7,"REPRICE - below margin floor",IF(U25&lt;$B$6,"Review pricing",IF(U25&lt;$B$5,"Maintain - below target","Protect &amp; Grow")))),"-")</f>
        <v>Protect &amp; Grow</v>
      </c>
    </row>
    <row r="26" customFormat="false" ht="21.75" hidden="false" customHeight="true" outlineLevel="0" collapsed="false">
      <c r="A26" s="75" t="s">
        <v>377</v>
      </c>
      <c r="B26" s="75" t="s">
        <v>133</v>
      </c>
      <c r="C26" s="75" t="s">
        <v>364</v>
      </c>
      <c r="D26" s="76" t="n">
        <v>28</v>
      </c>
      <c r="E26" s="77" t="n">
        <v>1.16</v>
      </c>
      <c r="F26" s="78" t="n">
        <f aca="false">IFERROR(D26/E26,0)</f>
        <v>24.1379310344828</v>
      </c>
      <c r="G26" s="79" t="n">
        <v>550</v>
      </c>
      <c r="H26" s="79" t="n">
        <v>30</v>
      </c>
      <c r="I26" s="78" t="n">
        <f aca="false">IFERROR(IF(OR(H26=0,H26=""),0,G26/H26),0)</f>
        <v>18.3333333333333</v>
      </c>
      <c r="J26" s="80" t="n">
        <v>0.05</v>
      </c>
      <c r="K26" s="78" t="n">
        <f aca="false">IFERROR(IF(B26="Import",(F26+I26)*J26,0),0)</f>
        <v>2.1235632183908</v>
      </c>
      <c r="L26" s="78" t="n">
        <f aca="false">IFERROR(IF(B26="Import",(F26+I26+K26)*$E$5,0),0)</f>
        <v>0.668922413793104</v>
      </c>
      <c r="M26" s="78" t="n">
        <f aca="false">IFERROR(F26+I26+K26+L26,0)</f>
        <v>45.26375</v>
      </c>
      <c r="N26" s="76" t="n">
        <v>79.99</v>
      </c>
      <c r="O26" s="76" t="n">
        <v>6</v>
      </c>
      <c r="P26" s="78" t="n">
        <f aca="false">IFERROR(N26*$B$9,0)</f>
        <v>0</v>
      </c>
      <c r="Q26" s="76" t="n">
        <v>3</v>
      </c>
      <c r="R26" s="79" t="n">
        <v>70</v>
      </c>
      <c r="S26" s="78" t="n">
        <f aca="false">IFERROR(N26-M26,0)</f>
        <v>34.72625</v>
      </c>
      <c r="T26" s="78" t="n">
        <f aca="false">IFERROR(N26-M26-O26-P26-Q26,0)</f>
        <v>25.72625</v>
      </c>
      <c r="U26" s="81" t="n">
        <f aca="false">IFERROR(T26/N26,0)</f>
        <v>0.321618327290911</v>
      </c>
      <c r="V26" s="82" t="n">
        <f aca="false">IFERROR(T26*R26,0)</f>
        <v>1800.8375</v>
      </c>
      <c r="W26" s="83" t="n">
        <f aca="false">IFERROR(MIN(100,MAX(0,ROUND(U26/$B$5*100,0))),0)</f>
        <v>100</v>
      </c>
      <c r="X26" s="78" t="n">
        <f aca="false">IFERROR((M26+O26+P26+Q26)/(1-$B$5),0)</f>
        <v>55.0901015228426</v>
      </c>
      <c r="Y26" s="78" t="n">
        <f aca="false">IFERROR(X26-N26,0)</f>
        <v>-24.8998984771574</v>
      </c>
      <c r="Z26" s="82" t="n">
        <f aca="false">IFERROR(IF(Y26&gt;0,Y26*R26,0),0)</f>
        <v>0</v>
      </c>
      <c r="AA26" s="84" t="n">
        <f aca="false">IFERROR(E26*(1+$B$8),0)</f>
        <v>1.1774</v>
      </c>
      <c r="AB26" s="78" t="n">
        <f aca="false">IFERROR(N26-(D26/AA26)-I26-IF(B26="Import",(D26/AA26+I26)*J26,0)-IF(B26="Import",(D26/AA26+I26)*J26*$E$5,0)-O26-(N26*$B$9)-Q26,0)</f>
        <v>26.7381406064209</v>
      </c>
      <c r="AC26" s="78" t="n">
        <f aca="false">IFERROR(T26-AB26,0)</f>
        <v>-1.01189060642093</v>
      </c>
      <c r="AD26" s="81" t="n">
        <f aca="false">IFERROR(V26/SUM($V$15:$V$44),0)</f>
        <v>0.0268174342762248</v>
      </c>
      <c r="AE26" s="83" t="str">
        <f aca="false">IFERROR(IF(RANK(V26,V$15:V$44,0)/COUNTA(A$15:A$44)&lt;=0.2,"A",IF(RANK(V26,V$15:V$44,0)/COUNTA(A$15:A$44)&lt;=0.5,"B","C")),"-")</f>
        <v>C</v>
      </c>
      <c r="AF26" s="85" t="s">
        <v>378</v>
      </c>
      <c r="AG26" s="83" t="n">
        <f aca="true">IFERROR(IF(AF26="","",DATEDIF(AF26,TODAY(),"M")),"")</f>
        <v>16</v>
      </c>
      <c r="AH26" s="83" t="str">
        <f aca="false">IFERROR(IF(AG26="","-",IF(AG26&lt;6,"Launch",IF(AG26&lt;18,"Growth",IF(AG26&lt;48,"Mature","Decline")))),"-")</f>
        <v>Growth</v>
      </c>
      <c r="AI26" s="83" t="str">
        <f aca="false">IFERROR(IF(T26&lt;0,"DELETE - loss-making",IF(U26&lt;$B$7,"REPRICE - below margin floor",IF(U26&lt;$B$6,"Review pricing",IF(U26&lt;$B$5,"Maintain - below target","Protect &amp; Grow")))),"-")</f>
        <v>Protect &amp; Grow</v>
      </c>
    </row>
    <row r="27" customFormat="false" ht="21.75" hidden="false" customHeight="true" outlineLevel="0" collapsed="false">
      <c r="A27" s="75" t="s">
        <v>379</v>
      </c>
      <c r="B27" s="75" t="s">
        <v>133</v>
      </c>
      <c r="C27" s="75" t="s">
        <v>361</v>
      </c>
      <c r="D27" s="76" t="n">
        <v>12</v>
      </c>
      <c r="E27" s="77" t="n">
        <v>1.27</v>
      </c>
      <c r="F27" s="78" t="n">
        <f aca="false">IFERROR(D27/E27,0)</f>
        <v>9.44881889763779</v>
      </c>
      <c r="G27" s="79" t="n">
        <v>380</v>
      </c>
      <c r="H27" s="79" t="n">
        <v>55</v>
      </c>
      <c r="I27" s="78" t="n">
        <f aca="false">IFERROR(IF(OR(H27=0,H27=""),0,G27/H27),0)</f>
        <v>6.90909090909091</v>
      </c>
      <c r="J27" s="80" t="n">
        <v>0.05</v>
      </c>
      <c r="K27" s="78" t="n">
        <f aca="false">IFERROR(IF(B27="Import",(F27+I27)*J27,0),0)</f>
        <v>0.817895490336435</v>
      </c>
      <c r="L27" s="78" t="n">
        <f aca="false">IFERROR(IF(B27="Import",(F27+I27+K27)*$E$5,0),0)</f>
        <v>0.257637079455977</v>
      </c>
      <c r="M27" s="78" t="n">
        <f aca="false">IFERROR(F27+I27+K27+L27,0)</f>
        <v>17.4334423765211</v>
      </c>
      <c r="N27" s="76" t="n">
        <v>34.99</v>
      </c>
      <c r="O27" s="76" t="n">
        <v>2.5</v>
      </c>
      <c r="P27" s="78" t="n">
        <f aca="false">IFERROR(N27*$B$9,0)</f>
        <v>0</v>
      </c>
      <c r="Q27" s="76" t="n">
        <v>1.5</v>
      </c>
      <c r="R27" s="79" t="n">
        <v>100</v>
      </c>
      <c r="S27" s="78" t="n">
        <f aca="false">IFERROR(N27-M27,0)</f>
        <v>17.5565576234789</v>
      </c>
      <c r="T27" s="78" t="n">
        <f aca="false">IFERROR(N27-M27-O27-P27-Q27,0)</f>
        <v>13.5565576234789</v>
      </c>
      <c r="U27" s="81" t="n">
        <f aca="false">IFERROR(T27/N27,0)</f>
        <v>0.38744091521803</v>
      </c>
      <c r="V27" s="82" t="n">
        <f aca="false">IFERROR(T27*R27,0)</f>
        <v>1355.65576234789</v>
      </c>
      <c r="W27" s="83" t="n">
        <f aca="false">IFERROR(MIN(100,MAX(0,ROUND(U27/$B$5*100,0))),0)</f>
        <v>100</v>
      </c>
      <c r="X27" s="78" t="n">
        <f aca="false">IFERROR((M27+O27+P27+Q27)/(1-$B$5),0)</f>
        <v>21.7598399761636</v>
      </c>
      <c r="Y27" s="78" t="n">
        <f aca="false">IFERROR(X27-N27,0)</f>
        <v>-13.2301600238364</v>
      </c>
      <c r="Z27" s="82" t="n">
        <f aca="false">IFERROR(IF(Y27&gt;0,Y27*R27,0),0)</f>
        <v>0</v>
      </c>
      <c r="AA27" s="84" t="n">
        <f aca="false">IFERROR(E27*(1+$B$8),0)</f>
        <v>1.28905</v>
      </c>
      <c r="AB27" s="78" t="n">
        <f aca="false">IFERROR(N27-(D27/AA27)-I27-IF(B27="Import",(D27/AA27+I27)*J27,0)-IF(B27="Import",(D27/AA27+I27)*J27*$E$5,0)-O27-(N27*$B$9)-Q27,0)</f>
        <v>13.9486506024521</v>
      </c>
      <c r="AC27" s="78" t="n">
        <f aca="false">IFERROR(T27-AB27,0)</f>
        <v>-0.392092978973238</v>
      </c>
      <c r="AD27" s="81" t="n">
        <f aca="false">IFERROR(V27/SUM($V$15:$V$44),0)</f>
        <v>0.0201879455019955</v>
      </c>
      <c r="AE27" s="83" t="str">
        <f aca="false">IFERROR(IF(RANK(V27,V$15:V$44,0)/COUNTA(A$15:A$44)&lt;=0.2,"A",IF(RANK(V27,V$15:V$44,0)/COUNTA(A$15:A$44)&lt;=0.5,"B","C")),"-")</f>
        <v>C</v>
      </c>
      <c r="AF27" s="85" t="s">
        <v>380</v>
      </c>
      <c r="AG27" s="83" t="n">
        <f aca="true">IFERROR(IF(AF27="","",DATEDIF(AF27,TODAY(),"M")),"")</f>
        <v>16</v>
      </c>
      <c r="AH27" s="83" t="str">
        <f aca="false">IFERROR(IF(AG27="","-",IF(AG27&lt;6,"Launch",IF(AG27&lt;18,"Growth",IF(AG27&lt;48,"Mature","Decline")))),"-")</f>
        <v>Growth</v>
      </c>
      <c r="AI27" s="83" t="str">
        <f aca="false">IFERROR(IF(T27&lt;0,"DELETE - loss-making",IF(U27&lt;$B$7,"REPRICE - below margin floor",IF(U27&lt;$B$6,"Review pricing",IF(U27&lt;$B$5,"Maintain - below target","Protect &amp; Grow")))),"-")</f>
        <v>Protect &amp; Grow</v>
      </c>
    </row>
    <row r="28" customFormat="false" ht="21.75" hidden="false" customHeight="true" outlineLevel="0" collapsed="false">
      <c r="A28" s="75" t="s">
        <v>381</v>
      </c>
      <c r="B28" s="75" t="s">
        <v>367</v>
      </c>
      <c r="C28" s="75" t="s">
        <v>368</v>
      </c>
      <c r="D28" s="76" t="n">
        <v>8</v>
      </c>
      <c r="E28" s="77" t="n">
        <v>1</v>
      </c>
      <c r="F28" s="78" t="n">
        <f aca="false">IFERROR(D28/E28,0)</f>
        <v>8</v>
      </c>
      <c r="I28" s="78" t="n">
        <f aca="false">IFERROR(IF(OR(H28=0,H28=""),0,G28/H28),0)</f>
        <v>0</v>
      </c>
      <c r="J28" s="80" t="n">
        <v>0</v>
      </c>
      <c r="K28" s="78" t="n">
        <f aca="false">IFERROR(IF(B28="Import",(F28+I28)*J28,0),0)</f>
        <v>0</v>
      </c>
      <c r="L28" s="78" t="n">
        <f aca="false">IFERROR(IF(B28="Import",(F28+I28+K28)*$E$5,0),0)</f>
        <v>0</v>
      </c>
      <c r="M28" s="78" t="n">
        <f aca="false">IFERROR(F28+I28+K28+L28,0)</f>
        <v>8</v>
      </c>
      <c r="N28" s="76" t="n">
        <v>24.99</v>
      </c>
      <c r="O28" s="76" t="n">
        <v>2</v>
      </c>
      <c r="P28" s="78" t="n">
        <f aca="false">IFERROR(N28*$B$9,0)</f>
        <v>0</v>
      </c>
      <c r="Q28" s="76" t="n">
        <v>1</v>
      </c>
      <c r="R28" s="79" t="n">
        <v>150</v>
      </c>
      <c r="S28" s="78" t="n">
        <f aca="false">IFERROR(N28-M28,0)</f>
        <v>16.99</v>
      </c>
      <c r="T28" s="78" t="n">
        <f aca="false">IFERROR(N28-M28-O28-P28-Q28,0)</f>
        <v>13.99</v>
      </c>
      <c r="U28" s="81" t="n">
        <f aca="false">IFERROR(T28/N28,0)</f>
        <v>0.559823929571829</v>
      </c>
      <c r="V28" s="82" t="n">
        <f aca="false">IFERROR(T28*R28,0)</f>
        <v>2098.5</v>
      </c>
      <c r="W28" s="83" t="n">
        <f aca="false">IFERROR(MIN(100,MAX(0,ROUND(U28/$B$5*100,0))),0)</f>
        <v>100</v>
      </c>
      <c r="X28" s="78" t="n">
        <f aca="false">IFERROR((M28+O28+P28+Q28)/(1-$B$5),0)</f>
        <v>11.1675126903553</v>
      </c>
      <c r="Y28" s="78" t="n">
        <f aca="false">IFERROR(X28-N28,0)</f>
        <v>-13.8224873096447</v>
      </c>
      <c r="Z28" s="82" t="n">
        <f aca="false">IFERROR(IF(Y28&gt;0,Y28*R28,0),0)</f>
        <v>0</v>
      </c>
      <c r="AA28" s="84" t="n">
        <f aca="false">IFERROR(E28*(1+$B$8),0)</f>
        <v>1.015</v>
      </c>
      <c r="AB28" s="78" t="n">
        <f aca="false">IFERROR(N28-(D28/AA28)-I28-IF(B28="Import",(D28/AA28+I28)*J28,0)-IF(B28="Import",(D28/AA28+I28)*J28*$E$5,0)-O28-(N28*$B$9)-Q28,0)</f>
        <v>14.1082266009852</v>
      </c>
      <c r="AC28" s="78" t="n">
        <f aca="false">IFERROR(T28-AB28,0)</f>
        <v>-0.118226600985221</v>
      </c>
      <c r="AD28" s="81" t="n">
        <f aca="false">IFERROR(V28/SUM($V$15:$V$44),0)</f>
        <v>0.0312501188078645</v>
      </c>
      <c r="AE28" s="83" t="str">
        <f aca="false">IFERROR(IF(RANK(V28,V$15:V$44,0)/COUNTA(A$15:A$44)&lt;=0.2,"A",IF(RANK(V28,V$15:V$44,0)/COUNTA(A$15:A$44)&lt;=0.5,"B","C")),"-")</f>
        <v>B</v>
      </c>
      <c r="AF28" s="85" t="s">
        <v>382</v>
      </c>
      <c r="AG28" s="83" t="n">
        <f aca="true">IFERROR(IF(AF28="","",DATEDIF(AF28,TODAY(),"M")),"")</f>
        <v>16</v>
      </c>
      <c r="AH28" s="83" t="str">
        <f aca="false">IFERROR(IF(AG28="","-",IF(AG28&lt;6,"Launch",IF(AG28&lt;18,"Growth",IF(AG28&lt;48,"Mature","Decline")))),"-")</f>
        <v>Growth</v>
      </c>
      <c r="AI28" s="83" t="str">
        <f aca="false">IFERROR(IF(T28&lt;0,"DELETE - loss-making",IF(U28&lt;$B$7,"REPRICE - below margin floor",IF(U28&lt;$B$6,"Review pricing",IF(U28&lt;$B$5,"Maintain - below target","Protect &amp; Grow")))),"-")</f>
        <v>Protect &amp; Grow</v>
      </c>
    </row>
    <row r="29" customFormat="false" ht="21.75" hidden="false" customHeight="true" outlineLevel="0" collapsed="false">
      <c r="A29" s="75" t="s">
        <v>383</v>
      </c>
      <c r="B29" s="75" t="s">
        <v>133</v>
      </c>
      <c r="C29" s="75" t="s">
        <v>361</v>
      </c>
      <c r="D29" s="76" t="n">
        <v>75</v>
      </c>
      <c r="E29" s="77" t="n">
        <v>1.27</v>
      </c>
      <c r="F29" s="78" t="n">
        <f aca="false">IFERROR(D29/E29,0)</f>
        <v>59.0551181102362</v>
      </c>
      <c r="G29" s="79" t="n">
        <v>1200</v>
      </c>
      <c r="H29" s="79" t="n">
        <v>15</v>
      </c>
      <c r="I29" s="78" t="n">
        <f aca="false">IFERROR(IF(OR(H29=0,H29=""),0,G29/H29),0)</f>
        <v>80</v>
      </c>
      <c r="J29" s="80" t="n">
        <v>0.05</v>
      </c>
      <c r="K29" s="78" t="n">
        <f aca="false">IFERROR(IF(B29="Import",(F29+I29)*J29,0),0)</f>
        <v>6.95275590551181</v>
      </c>
      <c r="L29" s="78" t="n">
        <f aca="false">IFERROR(IF(B29="Import",(F29+I29+K29)*$E$5,0),0)</f>
        <v>2.19011811023622</v>
      </c>
      <c r="M29" s="78" t="n">
        <f aca="false">IFERROR(F29+I29+K29+L29,0)</f>
        <v>148.197992125984</v>
      </c>
      <c r="N29" s="76" t="n">
        <v>199.99</v>
      </c>
      <c r="O29" s="76" t="n">
        <v>12</v>
      </c>
      <c r="P29" s="78" t="n">
        <f aca="false">IFERROR(N29*$B$9,0)</f>
        <v>0</v>
      </c>
      <c r="Q29" s="76" t="n">
        <v>8</v>
      </c>
      <c r="R29" s="79" t="n">
        <v>25</v>
      </c>
      <c r="S29" s="78" t="n">
        <f aca="false">IFERROR(N29-M29,0)</f>
        <v>51.7920078740158</v>
      </c>
      <c r="T29" s="78" t="n">
        <f aca="false">IFERROR(N29-M29-O29-P29-Q29,0)</f>
        <v>31.7920078740158</v>
      </c>
      <c r="U29" s="81" t="n">
        <f aca="false">IFERROR(T29/N29,0)</f>
        <v>0.158967987769467</v>
      </c>
      <c r="V29" s="82" t="n">
        <f aca="false">IFERROR(T29*R29,0)</f>
        <v>794.800196850394</v>
      </c>
      <c r="W29" s="83" t="n">
        <f aca="false">IFERROR(MIN(100,MAX(0,ROUND(U29/$B$5*100,0))),0)</f>
        <v>100</v>
      </c>
      <c r="X29" s="78" t="n">
        <f aca="false">IFERROR((M29+O29+P29+Q29)/(1-$B$5),0)</f>
        <v>170.75938286902</v>
      </c>
      <c r="Y29" s="78" t="n">
        <f aca="false">IFERROR(X29-N29,0)</f>
        <v>-29.2306171309805</v>
      </c>
      <c r="Z29" s="82" t="n">
        <f aca="false">IFERROR(IF(Y29&gt;0,Y29*R29,0),0)</f>
        <v>0</v>
      </c>
      <c r="AA29" s="84" t="n">
        <f aca="false">IFERROR(E29*(1+$B$8),0)</f>
        <v>1.28905</v>
      </c>
      <c r="AB29" s="78" t="n">
        <f aca="false">IFERROR(N29-(D29/AA29)-I29-IF(B29="Import",(D29/AA29+I29)*J29,0)-IF(B29="Import",(D29/AA29+I29)*J29*$E$5,0)-O29-(N29*$B$9)-Q29,0)</f>
        <v>34.7948617198712</v>
      </c>
      <c r="AC29" s="78" t="n">
        <f aca="false">IFERROR(T29-AB29,0)</f>
        <v>-3.00285384585548</v>
      </c>
      <c r="AD29" s="81" t="n">
        <f aca="false">IFERROR(V29/SUM($V$15:$V$44),0)</f>
        <v>0.0118358830498398</v>
      </c>
      <c r="AE29" s="83" t="str">
        <f aca="false">IFERROR(IF(RANK(V29,V$15:V$44,0)/COUNTA(A$15:A$44)&lt;=0.2,"A",IF(RANK(V29,V$15:V$44,0)/COUNTA(A$15:A$44)&lt;=0.5,"B","C")),"-")</f>
        <v>C</v>
      </c>
      <c r="AF29" s="85" t="s">
        <v>384</v>
      </c>
      <c r="AG29" s="83" t="n">
        <f aca="true">IFERROR(IF(AF29="","",DATEDIF(AF29,TODAY(),"M")),"")</f>
        <v>16</v>
      </c>
      <c r="AH29" s="83" t="str">
        <f aca="false">IFERROR(IF(AG29="","-",IF(AG29&lt;6,"Launch",IF(AG29&lt;18,"Growth",IF(AG29&lt;48,"Mature","Decline")))),"-")</f>
        <v>Growth</v>
      </c>
      <c r="AI29" s="83" t="str">
        <f aca="false">IFERROR(IF(T29&lt;0,"DELETE - loss-making",IF(U29&lt;$B$7,"REPRICE - below margin floor",IF(U29&lt;$B$6,"Review pricing",IF(U29&lt;$B$5,"Maintain - below target","Protect &amp; Grow")))),"-")</f>
        <v>Protect &amp; Grow</v>
      </c>
    </row>
    <row r="30" customFormat="false" ht="21.75" hidden="false" customHeight="true" outlineLevel="0" collapsed="false">
      <c r="A30" s="75" t="s">
        <v>168</v>
      </c>
      <c r="B30" s="75" t="s">
        <v>133</v>
      </c>
      <c r="C30" s="75" t="s">
        <v>361</v>
      </c>
      <c r="D30" s="76" t="n">
        <v>36</v>
      </c>
      <c r="E30" s="77" t="n">
        <v>1.27</v>
      </c>
      <c r="F30" s="78" t="n">
        <f aca="false">IFERROR(D30/E30,0)</f>
        <v>28.3464566929134</v>
      </c>
      <c r="G30" s="79" t="n">
        <v>1000</v>
      </c>
      <c r="H30" s="79" t="n">
        <v>400</v>
      </c>
      <c r="I30" s="78" t="n">
        <f aca="false">IFERROR(IF(OR(H30=0,H30=""),0,G30/H30),0)</f>
        <v>2.5</v>
      </c>
      <c r="J30" s="80" t="n">
        <v>0.05</v>
      </c>
      <c r="K30" s="78" t="n">
        <f aca="false">IFERROR(IF(B30="Import",(F30+I30)*J30,0),0)</f>
        <v>1.54232283464567</v>
      </c>
      <c r="L30" s="78" t="n">
        <f aca="false">IFERROR(IF(B30="Import",(F30+I30+K30)*$E$5,0),0)</f>
        <v>0.485831692913386</v>
      </c>
      <c r="M30" s="78" t="n">
        <f aca="false">IFERROR(F30+I30+K30+L30,0)</f>
        <v>32.8746112204724</v>
      </c>
      <c r="N30" s="76" t="n">
        <v>75</v>
      </c>
      <c r="O30" s="76" t="n">
        <v>7</v>
      </c>
      <c r="P30" s="78" t="n">
        <f aca="false">IFERROR(N30*$B$9,0)</f>
        <v>0</v>
      </c>
      <c r="Q30" s="76" t="n">
        <v>2</v>
      </c>
      <c r="R30" s="79" t="n">
        <v>55</v>
      </c>
      <c r="S30" s="78" t="n">
        <f aca="false">IFERROR(N30-M30,0)</f>
        <v>42.1253887795276</v>
      </c>
      <c r="T30" s="78" t="n">
        <f aca="false">IFERROR(N30-M30-O30-P30-Q30,0)</f>
        <v>33.1253887795276</v>
      </c>
      <c r="U30" s="81" t="n">
        <f aca="false">IFERROR(T30/N30,0)</f>
        <v>0.441671850393701</v>
      </c>
      <c r="V30" s="82" t="n">
        <f aca="false">IFERROR(T30*R30,0)</f>
        <v>1821.89638287402</v>
      </c>
      <c r="W30" s="83" t="n">
        <f aca="false">IFERROR(MIN(100,MAX(0,ROUND(U30/$B$5*100,0))),0)</f>
        <v>100</v>
      </c>
      <c r="X30" s="78" t="n">
        <f aca="false">IFERROR((M30+O30+P30+Q30)/(1-$B$5),0)</f>
        <v>42.512295655302</v>
      </c>
      <c r="Y30" s="78" t="n">
        <f aca="false">IFERROR(X30-N30,0)</f>
        <v>-32.487704344698</v>
      </c>
      <c r="Z30" s="82" t="n">
        <f aca="false">IFERROR(IF(Y30&gt;0,Y30*R30,0),0)</f>
        <v>0</v>
      </c>
      <c r="AA30" s="84" t="n">
        <f aca="false">IFERROR(E30*(1+$B$8),0)</f>
        <v>1.28905</v>
      </c>
      <c r="AB30" s="78" t="n">
        <f aca="false">IFERROR(N30-(D30/AA30)-I30-IF(B30="Import",(D30/AA30+I30)*J30,0)-IF(B30="Import",(D30/AA30+I30)*J30*$E$5,0)-O30-(N30*$B$9)-Q30,0)</f>
        <v>34.0282586255382</v>
      </c>
      <c r="AC30" s="78" t="n">
        <f aca="false">IFERROR(T30-AB30,0)</f>
        <v>-0.902869846010617</v>
      </c>
      <c r="AD30" s="81" t="n">
        <f aca="false">IFERROR(V30/SUM($V$15:$V$44),0)</f>
        <v>0.0271310357018973</v>
      </c>
      <c r="AE30" s="83" t="str">
        <f aca="false">IFERROR(IF(RANK(V30,V$15:V$44,0)/COUNTA(A$15:A$44)&lt;=0.2,"A",IF(RANK(V30,V$15:V$44,0)/COUNTA(A$15:A$44)&lt;=0.5,"B","C")),"-")</f>
        <v>C</v>
      </c>
      <c r="AF30" s="85" t="s">
        <v>376</v>
      </c>
      <c r="AG30" s="83" t="n">
        <f aca="true">IFERROR(IF(AF30="","",DATEDIF(AF30,TODAY(),"M")),"")</f>
        <v>16</v>
      </c>
      <c r="AH30" s="83" t="str">
        <f aca="false">IFERROR(IF(AG30="","-",IF(AG30&lt;6,"Launch",IF(AG30&lt;18,"Growth",IF(AG30&lt;48,"Mature","Decline")))),"-")</f>
        <v>Growth</v>
      </c>
      <c r="AI30" s="83" t="str">
        <f aca="false">IFERROR(IF(T30&lt;0,"DELETE - loss-making",IF(U30&lt;$B$7,"REPRICE - below margin floor",IF(U30&lt;$B$6,"Review pricing",IF(U30&lt;$B$5,"Maintain - below target","Protect &amp; Grow")))),"-")</f>
        <v>Protect &amp; Grow</v>
      </c>
    </row>
    <row r="31" customFormat="false" ht="21.75" hidden="false" customHeight="true" outlineLevel="0" collapsed="false">
      <c r="A31" s="75" t="s">
        <v>169</v>
      </c>
      <c r="B31" s="75" t="s">
        <v>133</v>
      </c>
      <c r="C31" s="75" t="s">
        <v>364</v>
      </c>
      <c r="D31" s="76" t="n">
        <v>45</v>
      </c>
      <c r="E31" s="77" t="n">
        <v>1.16</v>
      </c>
      <c r="F31" s="78" t="n">
        <f aca="false">IFERROR(D31/E31,0)</f>
        <v>38.7931034482759</v>
      </c>
      <c r="G31" s="79" t="n">
        <v>1000</v>
      </c>
      <c r="H31" s="79" t="n">
        <v>400</v>
      </c>
      <c r="I31" s="78" t="n">
        <f aca="false">IFERROR(IF(OR(H31=0,H31=""),0,G31/H31),0)</f>
        <v>2.5</v>
      </c>
      <c r="J31" s="80" t="n">
        <v>0.05</v>
      </c>
      <c r="K31" s="78" t="n">
        <f aca="false">IFERROR(IF(B31="Import",(F31+I31)*J31,0),0)</f>
        <v>2.06465517241379</v>
      </c>
      <c r="L31" s="78" t="n">
        <f aca="false">IFERROR(IF(B31="Import",(F31+I31+K31)*$E$5,0),0)</f>
        <v>0.650366379310345</v>
      </c>
      <c r="M31" s="78" t="n">
        <f aca="false">IFERROR(F31+I31+K31+L31,0)</f>
        <v>44.008125</v>
      </c>
      <c r="N31" s="76" t="n">
        <v>80</v>
      </c>
      <c r="O31" s="76" t="n">
        <v>8</v>
      </c>
      <c r="P31" s="78" t="n">
        <f aca="false">IFERROR(N31*$B$9,0)</f>
        <v>0</v>
      </c>
      <c r="Q31" s="76" t="n">
        <v>2</v>
      </c>
      <c r="R31" s="79" t="n">
        <v>100</v>
      </c>
      <c r="S31" s="78" t="n">
        <f aca="false">IFERROR(N31-M31,0)</f>
        <v>35.991875</v>
      </c>
      <c r="T31" s="78" t="n">
        <f aca="false">IFERROR(N31-M31-O31-P31-Q31,0)</f>
        <v>25.991875</v>
      </c>
      <c r="U31" s="81" t="n">
        <f aca="false">IFERROR(T31/N31,0)</f>
        <v>0.3248984375</v>
      </c>
      <c r="V31" s="82" t="n">
        <f aca="false">IFERROR(T31*R31,0)</f>
        <v>2599.1875</v>
      </c>
      <c r="W31" s="83" t="n">
        <f aca="false">IFERROR(MIN(100,MAX(0,ROUND(U31/$B$5*100,0))),0)</f>
        <v>100</v>
      </c>
      <c r="X31" s="78" t="n">
        <f aca="false">IFERROR((M31+O31+P31+Q31)/(1-$B$5),0)</f>
        <v>54.8305837563452</v>
      </c>
      <c r="Y31" s="78" t="n">
        <f aca="false">IFERROR(X31-N31,0)</f>
        <v>-25.1694162436548</v>
      </c>
      <c r="Z31" s="82" t="n">
        <f aca="false">IFERROR(IF(Y31&gt;0,Y31*R31,0),0)</f>
        <v>0</v>
      </c>
      <c r="AA31" s="84" t="n">
        <f aca="false">IFERROR(E31*(1+$B$8),0)</f>
        <v>1.1774</v>
      </c>
      <c r="AB31" s="78" t="n">
        <f aca="false">IFERROR(N31-(D31/AA31)-I31-IF(B31="Import",(D31/AA31+I31)*J31,0)-IF(B31="Import",(D31/AA31+I31)*J31*$E$5,0)-O31-(N31*$B$9)-Q31,0)</f>
        <v>27.2136634746051</v>
      </c>
      <c r="AC31" s="78" t="n">
        <f aca="false">IFERROR(T31-AB31,0)</f>
        <v>-1.22178847460506</v>
      </c>
      <c r="AD31" s="81" t="n">
        <f aca="false">IFERROR(V31/SUM($V$15:$V$44),0)</f>
        <v>0.0387061797373916</v>
      </c>
      <c r="AE31" s="83" t="str">
        <f aca="false">IFERROR(IF(RANK(V31,V$15:V$44,0)/COUNTA(A$15:A$44)&lt;=0.2,"A",IF(RANK(V31,V$15:V$44,0)/COUNTA(A$15:A$44)&lt;=0.5,"B","C")),"-")</f>
        <v>B</v>
      </c>
      <c r="AF31" s="85" t="s">
        <v>378</v>
      </c>
      <c r="AG31" s="83" t="n">
        <f aca="true">IFERROR(IF(AF31="","",DATEDIF(AF31,TODAY(),"M")),"")</f>
        <v>16</v>
      </c>
      <c r="AH31" s="83" t="str">
        <f aca="false">IFERROR(IF(AG31="","-",IF(AG31&lt;6,"Launch",IF(AG31&lt;18,"Growth",IF(AG31&lt;48,"Mature","Decline")))),"-")</f>
        <v>Growth</v>
      </c>
      <c r="AI31" s="83" t="str">
        <f aca="false">IFERROR(IF(T31&lt;0,"DELETE - loss-making",IF(U31&lt;$B$7,"REPRICE - below margin floor",IF(U31&lt;$B$6,"Review pricing",IF(U31&lt;$B$5,"Maintain - below target","Protect &amp; Grow")))),"-")</f>
        <v>Protect &amp; Grow</v>
      </c>
    </row>
    <row r="32" customFormat="false" ht="21.75" hidden="false" customHeight="true" outlineLevel="0" collapsed="false">
      <c r="A32" s="75" t="s">
        <v>170</v>
      </c>
      <c r="B32" s="75" t="s">
        <v>367</v>
      </c>
      <c r="C32" s="75" t="s">
        <v>368</v>
      </c>
      <c r="D32" s="76" t="n">
        <v>22</v>
      </c>
      <c r="E32" s="77" t="n">
        <v>1</v>
      </c>
      <c r="F32" s="78" t="n">
        <f aca="false">IFERROR(D32/E32,0)</f>
        <v>22</v>
      </c>
      <c r="G32" s="79" t="n">
        <v>1000</v>
      </c>
      <c r="H32" s="79" t="n">
        <v>400</v>
      </c>
      <c r="I32" s="78" t="n">
        <f aca="false">IFERROR(IF(OR(H32=0,H32=""),0,G32/H32),0)</f>
        <v>2.5</v>
      </c>
      <c r="J32" s="80" t="n">
        <v>0</v>
      </c>
      <c r="K32" s="78" t="n">
        <f aca="false">IFERROR(IF(B32="Import",(F32+I32)*J32,0),0)</f>
        <v>0</v>
      </c>
      <c r="L32" s="78" t="n">
        <f aca="false">IFERROR(IF(B32="Import",(F32+I32+K32)*$E$5,0),0)</f>
        <v>0</v>
      </c>
      <c r="M32" s="78" t="n">
        <f aca="false">IFERROR(F32+I32+K32+L32,0)</f>
        <v>24.5</v>
      </c>
      <c r="N32" s="76" t="n">
        <v>55</v>
      </c>
      <c r="O32" s="76" t="n">
        <v>6</v>
      </c>
      <c r="P32" s="78" t="n">
        <f aca="false">IFERROR(N32*$B$9,0)</f>
        <v>0</v>
      </c>
      <c r="Q32" s="76" t="n">
        <v>2</v>
      </c>
      <c r="R32" s="79" t="n">
        <v>150</v>
      </c>
      <c r="S32" s="78" t="n">
        <f aca="false">IFERROR(N32-M32,0)</f>
        <v>30.5</v>
      </c>
      <c r="T32" s="78" t="n">
        <f aca="false">IFERROR(N32-M32-O32-P32-Q32,0)</f>
        <v>22.5</v>
      </c>
      <c r="U32" s="81" t="n">
        <f aca="false">IFERROR(T32/N32,0)</f>
        <v>0.409090909090909</v>
      </c>
      <c r="V32" s="82" t="n">
        <f aca="false">IFERROR(T32*R32,0)</f>
        <v>3375</v>
      </c>
      <c r="W32" s="83" t="n">
        <f aca="false">IFERROR(MIN(100,MAX(0,ROUND(U32/$B$5*100,0))),0)</f>
        <v>100</v>
      </c>
      <c r="X32" s="78" t="n">
        <f aca="false">IFERROR((M32+O32+P32+Q32)/(1-$B$5),0)</f>
        <v>32.994923857868</v>
      </c>
      <c r="Y32" s="78" t="n">
        <f aca="false">IFERROR(X32-N32,0)</f>
        <v>-22.005076142132</v>
      </c>
      <c r="Z32" s="82" t="n">
        <f aca="false">IFERROR(IF(Y32&gt;0,Y32*R32,0),0)</f>
        <v>0</v>
      </c>
      <c r="AA32" s="84" t="n">
        <f aca="false">IFERROR(E32*(1+$B$8),0)</f>
        <v>1.015</v>
      </c>
      <c r="AB32" s="78" t="n">
        <f aca="false">IFERROR(N32-(D32/AA32)-I32-IF(B32="Import",(D32/AA32+I32)*J32,0)-IF(B32="Import",(D32/AA32+I32)*J32*$E$5,0)-O32-(N32*$B$9)-Q32,0)</f>
        <v>22.8251231527094</v>
      </c>
      <c r="AC32" s="78" t="n">
        <f aca="false">IFERROR(T32-AB32,0)</f>
        <v>-0.325123152709352</v>
      </c>
      <c r="AD32" s="81" t="n">
        <f aca="false">IFERROR(V32/SUM($V$15:$V$44),0)</f>
        <v>0.0502593047303039</v>
      </c>
      <c r="AE32" s="83" t="str">
        <f aca="false">IFERROR(IF(RANK(V32,V$15:V$44,0)/COUNTA(A$15:A$44)&lt;=0.2,"A",IF(RANK(V32,V$15:V$44,0)/COUNTA(A$15:A$44)&lt;=0.5,"B","C")),"-")</f>
        <v>A</v>
      </c>
      <c r="AF32" s="85" t="s">
        <v>380</v>
      </c>
      <c r="AG32" s="83" t="n">
        <f aca="true">IFERROR(IF(AF32="","",DATEDIF(AF32,TODAY(),"M")),"")</f>
        <v>16</v>
      </c>
      <c r="AH32" s="83" t="str">
        <f aca="false">IFERROR(IF(AG32="","-",IF(AG32&lt;6,"Launch",IF(AG32&lt;18,"Growth",IF(AG32&lt;48,"Mature","Decline")))),"-")</f>
        <v>Growth</v>
      </c>
      <c r="AI32" s="83" t="str">
        <f aca="false">IFERROR(IF(T32&lt;0,"DELETE - loss-making",IF(U32&lt;$B$7,"REPRICE - below margin floor",IF(U32&lt;$B$6,"Review pricing",IF(U32&lt;$B$5,"Maintain - below target","Protect &amp; Grow")))),"-")</f>
        <v>Protect &amp; Grow</v>
      </c>
    </row>
    <row r="33" customFormat="false" ht="21.75" hidden="false" customHeight="true" outlineLevel="0" collapsed="false">
      <c r="A33" s="75" t="s">
        <v>171</v>
      </c>
      <c r="B33" s="75" t="s">
        <v>133</v>
      </c>
      <c r="C33" s="75" t="s">
        <v>361</v>
      </c>
      <c r="D33" s="76" t="n">
        <v>9</v>
      </c>
      <c r="E33" s="77" t="n">
        <v>1.27</v>
      </c>
      <c r="F33" s="78" t="n">
        <f aca="false">IFERROR(D33/E33,0)</f>
        <v>7.08661417322835</v>
      </c>
      <c r="G33" s="79" t="n">
        <v>1000</v>
      </c>
      <c r="H33" s="79" t="n">
        <v>400</v>
      </c>
      <c r="I33" s="78" t="n">
        <f aca="false">IFERROR(IF(OR(H33=0,H33=""),0,G33/H33),0)</f>
        <v>2.5</v>
      </c>
      <c r="J33" s="80" t="n">
        <v>0.05</v>
      </c>
      <c r="K33" s="78" t="n">
        <f aca="false">IFERROR(IF(B33="Import",(F33+I33)*J33,0),0)</f>
        <v>0.479330708661417</v>
      </c>
      <c r="L33" s="78" t="n">
        <f aca="false">IFERROR(IF(B33="Import",(F33+I33+K33)*$E$5,0),0)</f>
        <v>0.150989173228346</v>
      </c>
      <c r="M33" s="78" t="n">
        <f aca="false">IFERROR(F33+I33+K33+L33,0)</f>
        <v>10.2169340551181</v>
      </c>
      <c r="N33" s="76" t="n">
        <v>24</v>
      </c>
      <c r="O33" s="76" t="n">
        <v>2</v>
      </c>
      <c r="P33" s="78" t="n">
        <f aca="false">IFERROR(N33*$B$9,0)</f>
        <v>0</v>
      </c>
      <c r="Q33" s="76" t="n">
        <v>2</v>
      </c>
      <c r="R33" s="79" t="n">
        <v>220</v>
      </c>
      <c r="S33" s="78" t="n">
        <f aca="false">IFERROR(N33-M33,0)</f>
        <v>13.7830659448819</v>
      </c>
      <c r="T33" s="78" t="n">
        <f aca="false">IFERROR(N33-M33-O33-P33-Q33,0)</f>
        <v>9.78306594488189</v>
      </c>
      <c r="U33" s="81" t="n">
        <f aca="false">IFERROR(T33/N33,0)</f>
        <v>0.407627747703412</v>
      </c>
      <c r="V33" s="82" t="n">
        <f aca="false">IFERROR(T33*R33,0)</f>
        <v>2152.27450787402</v>
      </c>
      <c r="W33" s="83" t="n">
        <f aca="false">IFERROR(MIN(100,MAX(0,ROUND(U33/$B$5*100,0))),0)</f>
        <v>100</v>
      </c>
      <c r="X33" s="78" t="n">
        <f aca="false">IFERROR((M33+O33+P33+Q33)/(1-$B$5),0)</f>
        <v>14.4334355889524</v>
      </c>
      <c r="Y33" s="78" t="n">
        <f aca="false">IFERROR(X33-N33,0)</f>
        <v>-9.5665644110476</v>
      </c>
      <c r="Z33" s="82" t="n">
        <f aca="false">IFERROR(IF(Y33&gt;0,Y33*R33,0),0)</f>
        <v>0</v>
      </c>
      <c r="AA33" s="84" t="n">
        <f aca="false">IFERROR(E33*(1+$B$8),0)</f>
        <v>1.28905</v>
      </c>
      <c r="AB33" s="78" t="n">
        <f aca="false">IFERROR(N33-(D33/AA33)-I33-IF(B33="Import",(D33/AA33+I33)*J33,0)-IF(B33="Import",(D33/AA33+I33)*J33*$E$5,0)-O33-(N33*$B$9)-Q33,0)</f>
        <v>10.0369084063845</v>
      </c>
      <c r="AC33" s="78" t="n">
        <f aca="false">IFERROR(T33-AB33,0)</f>
        <v>-0.253842461502652</v>
      </c>
      <c r="AD33" s="81" t="n">
        <f aca="false">IFERROR(V33/SUM($V$15:$V$44),0)</f>
        <v>0.0320509097346681</v>
      </c>
      <c r="AE33" s="83" t="str">
        <f aca="false">IFERROR(IF(RANK(V33,V$15:V$44,0)/COUNTA(A$15:A$44)&lt;=0.2,"A",IF(RANK(V33,V$15:V$44,0)/COUNTA(A$15:A$44)&lt;=0.5,"B","C")),"-")</f>
        <v>B</v>
      </c>
      <c r="AF33" s="85" t="s">
        <v>382</v>
      </c>
      <c r="AG33" s="83" t="n">
        <f aca="true">IFERROR(IF(AF33="","",DATEDIF(AF33,TODAY(),"M")),"")</f>
        <v>16</v>
      </c>
      <c r="AH33" s="83" t="str">
        <f aca="false">IFERROR(IF(AG33="","-",IF(AG33&lt;6,"Launch",IF(AG33&lt;18,"Growth",IF(AG33&lt;48,"Mature","Decline")))),"-")</f>
        <v>Growth</v>
      </c>
      <c r="AI33" s="83" t="str">
        <f aca="false">IFERROR(IF(T33&lt;0,"DELETE - loss-making",IF(U33&lt;$B$7,"REPRICE - below margin floor",IF(U33&lt;$B$6,"Review pricing",IF(U33&lt;$B$5,"Maintain - below target","Protect &amp; Grow")))),"-")</f>
        <v>Protect &amp; Grow</v>
      </c>
    </row>
    <row r="34" customFormat="false" ht="21.75" hidden="false" customHeight="true" outlineLevel="0" collapsed="false">
      <c r="A34" s="75" t="s">
        <v>172</v>
      </c>
      <c r="B34" s="75" t="s">
        <v>133</v>
      </c>
      <c r="C34" s="75" t="s">
        <v>364</v>
      </c>
      <c r="D34" s="76" t="n">
        <v>75</v>
      </c>
      <c r="E34" s="77" t="n">
        <v>1.16</v>
      </c>
      <c r="F34" s="78" t="n">
        <f aca="false">IFERROR(D34/E34,0)</f>
        <v>64.6551724137931</v>
      </c>
      <c r="G34" s="79" t="n">
        <v>1000</v>
      </c>
      <c r="H34" s="79" t="n">
        <v>400</v>
      </c>
      <c r="I34" s="78" t="n">
        <f aca="false">IFERROR(IF(OR(H34=0,H34=""),0,G34/H34),0)</f>
        <v>2.5</v>
      </c>
      <c r="J34" s="80" t="n">
        <v>0.05</v>
      </c>
      <c r="K34" s="78" t="n">
        <f aca="false">IFERROR(IF(B34="Import",(F34+I34)*J34,0),0)</f>
        <v>3.35775862068966</v>
      </c>
      <c r="L34" s="78" t="n">
        <f aca="false">IFERROR(IF(B34="Import",(F34+I34+K34)*$E$5,0),0)</f>
        <v>1.05769396551724</v>
      </c>
      <c r="M34" s="78" t="n">
        <f aca="false">IFERROR(F34+I34+K34+L34,0)</f>
        <v>71.570625</v>
      </c>
      <c r="N34" s="76" t="n">
        <v>95</v>
      </c>
      <c r="O34" s="76" t="n">
        <v>10</v>
      </c>
      <c r="P34" s="78" t="n">
        <f aca="false">IFERROR(N34*$B$9,0)</f>
        <v>0</v>
      </c>
      <c r="Q34" s="76" t="n">
        <v>2</v>
      </c>
      <c r="R34" s="79" t="n">
        <v>65</v>
      </c>
      <c r="S34" s="78" t="n">
        <f aca="false">IFERROR(N34-M34,0)</f>
        <v>23.429375</v>
      </c>
      <c r="T34" s="78" t="n">
        <f aca="false">IFERROR(N34-M34-O34-P34-Q34,0)</f>
        <v>11.429375</v>
      </c>
      <c r="U34" s="81" t="n">
        <f aca="false">IFERROR(T34/N34,0)</f>
        <v>0.120309210526316</v>
      </c>
      <c r="V34" s="82" t="n">
        <f aca="false">IFERROR(T34*R34,0)</f>
        <v>742.909375</v>
      </c>
      <c r="W34" s="83" t="n">
        <f aca="false">IFERROR(MIN(100,MAX(0,ROUND(U34/$B$5*100,0))),0)</f>
        <v>100</v>
      </c>
      <c r="X34" s="78" t="n">
        <f aca="false">IFERROR((M34+O34+P34+Q34)/(1-$B$5),0)</f>
        <v>84.8432741116751</v>
      </c>
      <c r="Y34" s="78" t="n">
        <f aca="false">IFERROR(X34-N34,0)</f>
        <v>-10.1567258883249</v>
      </c>
      <c r="Z34" s="82" t="n">
        <f aca="false">IFERROR(IF(Y34&gt;0,Y34*R34,0),0)</f>
        <v>0</v>
      </c>
      <c r="AA34" s="84" t="n">
        <f aca="false">IFERROR(E34*(1+$B$8),0)</f>
        <v>1.1774</v>
      </c>
      <c r="AB34" s="78" t="n">
        <f aca="false">IFERROR(N34-(D34/AA34)-I34-IF(B34="Import",(D34/AA34+I34)*J34,0)-IF(B34="Import",(D34/AA34+I34)*J34*$E$5,0)-O34-(N34*$B$9)-Q34,0)</f>
        <v>13.4406891243418</v>
      </c>
      <c r="AC34" s="78" t="n">
        <f aca="false">IFERROR(T34-AB34,0)</f>
        <v>-2.01131412434177</v>
      </c>
      <c r="AD34" s="81" t="n">
        <f aca="false">IFERROR(V34/SUM($V$15:$V$44),0)</f>
        <v>0.0110631433081851</v>
      </c>
      <c r="AE34" s="83" t="str">
        <f aca="false">IFERROR(IF(RANK(V34,V$15:V$44,0)/COUNTA(A$15:A$44)&lt;=0.2,"A",IF(RANK(V34,V$15:V$44,0)/COUNTA(A$15:A$44)&lt;=0.5,"B","C")),"-")</f>
        <v>C</v>
      </c>
      <c r="AF34" s="85" t="s">
        <v>384</v>
      </c>
      <c r="AG34" s="83" t="n">
        <f aca="true">IFERROR(IF(AF34="","",DATEDIF(AF34,TODAY(),"M")),"")</f>
        <v>16</v>
      </c>
      <c r="AH34" s="83" t="str">
        <f aca="false">IFERROR(IF(AG34="","-",IF(AG34&lt;6,"Launch",IF(AG34&lt;18,"Growth",IF(AG34&lt;48,"Mature","Decline")))),"-")</f>
        <v>Growth</v>
      </c>
      <c r="AI34" s="83" t="str">
        <f aca="false">IFERROR(IF(T34&lt;0,"DELETE - loss-making",IF(U34&lt;$B$7,"REPRICE - below margin floor",IF(U34&lt;$B$6,"Review pricing",IF(U34&lt;$B$5,"Maintain - below target","Protect &amp; Grow")))),"-")</f>
        <v>Protect &amp; Grow</v>
      </c>
    </row>
    <row r="35" customFormat="false" ht="21.75" hidden="false" customHeight="true" outlineLevel="0" collapsed="false">
      <c r="A35" s="75" t="s">
        <v>173</v>
      </c>
      <c r="B35" s="75" t="s">
        <v>367</v>
      </c>
      <c r="C35" s="75" t="s">
        <v>368</v>
      </c>
      <c r="D35" s="76" t="n">
        <v>18</v>
      </c>
      <c r="E35" s="77" t="n">
        <v>1</v>
      </c>
      <c r="F35" s="78" t="n">
        <f aca="false">IFERROR(D35/E35,0)</f>
        <v>18</v>
      </c>
      <c r="G35" s="79" t="n">
        <v>1000</v>
      </c>
      <c r="H35" s="79" t="n">
        <v>400</v>
      </c>
      <c r="I35" s="78" t="n">
        <f aca="false">IFERROR(IF(OR(H35=0,H35=""),0,G35/H35),0)</f>
        <v>2.5</v>
      </c>
      <c r="J35" s="80" t="n">
        <v>0</v>
      </c>
      <c r="K35" s="78" t="n">
        <f aca="false">IFERROR(IF(B35="Import",(F35+I35)*J35,0),0)</f>
        <v>0</v>
      </c>
      <c r="L35" s="78" t="n">
        <f aca="false">IFERROR(IF(B35="Import",(F35+I35+K35)*$E$5,0),0)</f>
        <v>0</v>
      </c>
      <c r="M35" s="78" t="n">
        <f aca="false">IFERROR(F35+I35+K35+L35,0)</f>
        <v>20.5</v>
      </c>
      <c r="N35" s="76" t="n">
        <v>39</v>
      </c>
      <c r="O35" s="76" t="n">
        <v>5</v>
      </c>
      <c r="P35" s="78" t="n">
        <f aca="false">IFERROR(N35*$B$9,0)</f>
        <v>0</v>
      </c>
      <c r="Q35" s="76" t="n">
        <v>2</v>
      </c>
      <c r="R35" s="79" t="n">
        <v>180</v>
      </c>
      <c r="S35" s="78" t="n">
        <f aca="false">IFERROR(N35-M35,0)</f>
        <v>18.5</v>
      </c>
      <c r="T35" s="78" t="n">
        <f aca="false">IFERROR(N35-M35-O35-P35-Q35,0)</f>
        <v>11.5</v>
      </c>
      <c r="U35" s="81" t="n">
        <f aca="false">IFERROR(T35/N35,0)</f>
        <v>0.294871794871795</v>
      </c>
      <c r="V35" s="82" t="n">
        <f aca="false">IFERROR(T35*R35,0)</f>
        <v>2070</v>
      </c>
      <c r="W35" s="83" t="n">
        <f aca="false">IFERROR(MIN(100,MAX(0,ROUND(U35/$B$5*100,0))),0)</f>
        <v>100</v>
      </c>
      <c r="X35" s="78" t="n">
        <f aca="false">IFERROR((M35+O35+P35+Q35)/(1-$B$5),0)</f>
        <v>27.9187817258883</v>
      </c>
      <c r="Y35" s="78" t="n">
        <f aca="false">IFERROR(X35-N35,0)</f>
        <v>-11.0812182741117</v>
      </c>
      <c r="Z35" s="82" t="n">
        <f aca="false">IFERROR(IF(Y35&gt;0,Y35*R35,0),0)</f>
        <v>0</v>
      </c>
      <c r="AA35" s="84" t="n">
        <f aca="false">IFERROR(E35*(1+$B$8),0)</f>
        <v>1.015</v>
      </c>
      <c r="AB35" s="78" t="n">
        <f aca="false">IFERROR(N35-(D35/AA35)-I35-IF(B35="Import",(D35/AA35+I35)*J35,0)-IF(B35="Import",(D35/AA35+I35)*J35*$E$5,0)-O35-(N35*$B$9)-Q35,0)</f>
        <v>11.7660098522167</v>
      </c>
      <c r="AC35" s="78" t="n">
        <f aca="false">IFERROR(T35-AB35,0)</f>
        <v>-0.266009852216747</v>
      </c>
      <c r="AD35" s="81" t="n">
        <f aca="false">IFERROR(V35/SUM($V$15:$V$44),0)</f>
        <v>0.030825706901253</v>
      </c>
      <c r="AE35" s="83" t="str">
        <f aca="false">IFERROR(IF(RANK(V35,V$15:V$44,0)/COUNTA(A$15:A$44)&lt;=0.2,"A",IF(RANK(V35,V$15:V$44,0)/COUNTA(A$15:A$44)&lt;=0.5,"B","C")),"-")</f>
        <v>C</v>
      </c>
      <c r="AF35" s="85" t="s">
        <v>385</v>
      </c>
      <c r="AG35" s="83" t="n">
        <f aca="true">IFERROR(IF(AF35="","",DATEDIF(AF35,TODAY(),"M")),"")</f>
        <v>16</v>
      </c>
      <c r="AH35" s="83" t="str">
        <f aca="false">IFERROR(IF(AG35="","-",IF(AG35&lt;6,"Launch",IF(AG35&lt;18,"Growth",IF(AG35&lt;48,"Mature","Decline")))),"-")</f>
        <v>Growth</v>
      </c>
      <c r="AI35" s="83" t="str">
        <f aca="false">IFERROR(IF(T35&lt;0,"DELETE - loss-making",IF(U35&lt;$B$7,"REPRICE - below margin floor",IF(U35&lt;$B$6,"Review pricing",IF(U35&lt;$B$5,"Maintain - below target","Protect &amp; Grow")))),"-")</f>
        <v>Protect &amp; Grow</v>
      </c>
    </row>
    <row r="36" customFormat="false" ht="21.75" hidden="false" customHeight="true" outlineLevel="0" collapsed="false">
      <c r="A36" s="75" t="s">
        <v>174</v>
      </c>
      <c r="B36" s="75" t="s">
        <v>133</v>
      </c>
      <c r="C36" s="75" t="s">
        <v>361</v>
      </c>
      <c r="D36" s="76" t="n">
        <v>45</v>
      </c>
      <c r="E36" s="77" t="n">
        <v>1.27</v>
      </c>
      <c r="F36" s="78" t="n">
        <f aca="false">IFERROR(D36/E36,0)</f>
        <v>35.4330708661417</v>
      </c>
      <c r="G36" s="79" t="n">
        <v>1000</v>
      </c>
      <c r="H36" s="79" t="n">
        <v>400</v>
      </c>
      <c r="I36" s="78" t="n">
        <f aca="false">IFERROR(IF(OR(H36=0,H36=""),0,G36/H36),0)</f>
        <v>2.5</v>
      </c>
      <c r="J36" s="80" t="n">
        <v>0.05</v>
      </c>
      <c r="K36" s="78" t="n">
        <f aca="false">IFERROR(IF(B36="Import",(F36+I36)*J36,0),0)</f>
        <v>1.89665354330709</v>
      </c>
      <c r="L36" s="78" t="n">
        <f aca="false">IFERROR(IF(B36="Import",(F36+I36+K36)*$E$5,0),0)</f>
        <v>0.597445866141732</v>
      </c>
      <c r="M36" s="78" t="n">
        <f aca="false">IFERROR(F36+I36+K36+L36,0)</f>
        <v>40.4271702755906</v>
      </c>
      <c r="N36" s="76" t="n">
        <v>75</v>
      </c>
      <c r="O36" s="76" t="n">
        <v>7</v>
      </c>
      <c r="P36" s="78" t="n">
        <f aca="false">IFERROR(N36*$B$9,0)</f>
        <v>0</v>
      </c>
      <c r="Q36" s="76" t="n">
        <v>2</v>
      </c>
      <c r="R36" s="79" t="n">
        <v>55</v>
      </c>
      <c r="S36" s="78" t="n">
        <f aca="false">IFERROR(N36-M36,0)</f>
        <v>34.5728297244094</v>
      </c>
      <c r="T36" s="78" t="n">
        <f aca="false">IFERROR(N36-M36-O36-P36-Q36,0)</f>
        <v>25.5728297244094</v>
      </c>
      <c r="U36" s="81" t="n">
        <f aca="false">IFERROR(T36/N36,0)</f>
        <v>0.340971062992126</v>
      </c>
      <c r="V36" s="82" t="n">
        <f aca="false">IFERROR(T36*R36,0)</f>
        <v>1406.50563484252</v>
      </c>
      <c r="W36" s="83" t="n">
        <f aca="false">IFERROR(MIN(100,MAX(0,ROUND(U36/$B$5*100,0))),0)</f>
        <v>100</v>
      </c>
      <c r="X36" s="78" t="n">
        <f aca="false">IFERROR((M36+O36+P36+Q36)/(1-$B$5),0)</f>
        <v>50.1798683000919</v>
      </c>
      <c r="Y36" s="78" t="n">
        <f aca="false">IFERROR(X36-N36,0)</f>
        <v>-24.8201316999081</v>
      </c>
      <c r="Z36" s="82" t="n">
        <f aca="false">IFERROR(IF(Y36&gt;0,Y36*R36,0),0)</f>
        <v>0</v>
      </c>
      <c r="AA36" s="84" t="n">
        <f aca="false">IFERROR(E36*(1+$B$8),0)</f>
        <v>1.28905</v>
      </c>
      <c r="AB36" s="78" t="n">
        <f aca="false">IFERROR(N36-(D36/AA36)-I36-IF(B36="Import",(D36/AA36+I36)*J36,0)-IF(B36="Import",(D36/AA36+I36)*J36*$E$5,0)-O36-(N36*$B$9)-Q36,0)</f>
        <v>26.6920420319227</v>
      </c>
      <c r="AC36" s="78" t="n">
        <f aca="false">IFERROR(T36-AB36,0)</f>
        <v>-1.11921230751328</v>
      </c>
      <c r="AD36" s="81" t="n">
        <f aca="false">IFERROR(V36/SUM($V$15:$V$44),0)</f>
        <v>0.0209451837945007</v>
      </c>
      <c r="AE36" s="83" t="str">
        <f aca="false">IFERROR(IF(RANK(V36,V$15:V$44,0)/COUNTA(A$15:A$44)&lt;=0.2,"A",IF(RANK(V36,V$15:V$44,0)/COUNTA(A$15:A$44)&lt;=0.5,"B","C")),"-")</f>
        <v>C</v>
      </c>
      <c r="AF36" s="85" t="s">
        <v>386</v>
      </c>
      <c r="AG36" s="83" t="n">
        <f aca="true">IFERROR(IF(AF36="","",DATEDIF(AF36,TODAY(),"M")),"")</f>
        <v>16</v>
      </c>
      <c r="AH36" s="83" t="str">
        <f aca="false">IFERROR(IF(AG36="","-",IF(AG36&lt;6,"Launch",IF(AG36&lt;18,"Growth",IF(AG36&lt;48,"Mature","Decline")))),"-")</f>
        <v>Growth</v>
      </c>
      <c r="AI36" s="83" t="str">
        <f aca="false">IFERROR(IF(T36&lt;0,"DELETE - loss-making",IF(U36&lt;$B$7,"REPRICE - below margin floor",IF(U36&lt;$B$6,"Review pricing",IF(U36&lt;$B$5,"Maintain - below target","Protect &amp; Grow")))),"-")</f>
        <v>Protect &amp; Grow</v>
      </c>
    </row>
    <row r="37" customFormat="false" ht="21.75" hidden="false" customHeight="true" outlineLevel="0" collapsed="false">
      <c r="A37" s="75" t="s">
        <v>175</v>
      </c>
      <c r="B37" s="75" t="s">
        <v>133</v>
      </c>
      <c r="C37" s="75" t="s">
        <v>364</v>
      </c>
      <c r="D37" s="76" t="n">
        <v>12</v>
      </c>
      <c r="E37" s="77" t="n">
        <v>1.16</v>
      </c>
      <c r="F37" s="78" t="n">
        <f aca="false">IFERROR(D37/E37,0)</f>
        <v>10.3448275862069</v>
      </c>
      <c r="G37" s="79" t="n">
        <v>1000</v>
      </c>
      <c r="H37" s="79" t="n">
        <v>400</v>
      </c>
      <c r="I37" s="78" t="n">
        <f aca="false">IFERROR(IF(OR(H37=0,H37=""),0,G37/H37),0)</f>
        <v>2.5</v>
      </c>
      <c r="J37" s="80" t="n">
        <v>0.05</v>
      </c>
      <c r="K37" s="78" t="n">
        <f aca="false">IFERROR(IF(B37="Import",(F37+I37)*J37,0),0)</f>
        <v>0.642241379310345</v>
      </c>
      <c r="L37" s="78" t="n">
        <f aca="false">IFERROR(IF(B37="Import",(F37+I37+K37)*$E$5,0),0)</f>
        <v>0.202306034482759</v>
      </c>
      <c r="M37" s="78" t="n">
        <f aca="false">IFERROR(F37+I37+K37+L37,0)</f>
        <v>13.689375</v>
      </c>
      <c r="N37" s="76" t="n">
        <v>32</v>
      </c>
      <c r="O37" s="76" t="n">
        <v>4</v>
      </c>
      <c r="P37" s="78" t="n">
        <f aca="false">IFERROR(N37*$B$9,0)</f>
        <v>0</v>
      </c>
      <c r="Q37" s="76" t="n">
        <v>2</v>
      </c>
      <c r="R37" s="79" t="n">
        <v>140</v>
      </c>
      <c r="S37" s="78" t="n">
        <f aca="false">IFERROR(N37-M37,0)</f>
        <v>18.310625</v>
      </c>
      <c r="T37" s="78" t="n">
        <f aca="false">IFERROR(N37-M37-O37-P37-Q37,0)</f>
        <v>12.310625</v>
      </c>
      <c r="U37" s="81" t="n">
        <f aca="false">IFERROR(T37/N37,0)</f>
        <v>0.38470703125</v>
      </c>
      <c r="V37" s="82" t="n">
        <f aca="false">IFERROR(T37*R37,0)</f>
        <v>1723.4875</v>
      </c>
      <c r="W37" s="83" t="n">
        <f aca="false">IFERROR(MIN(100,MAX(0,ROUND(U37/$B$5*100,0))),0)</f>
        <v>100</v>
      </c>
      <c r="X37" s="78" t="n">
        <f aca="false">IFERROR((M37+O37+P37+Q37)/(1-$B$5),0)</f>
        <v>19.9892131979695</v>
      </c>
      <c r="Y37" s="78" t="n">
        <f aca="false">IFERROR(X37-N37,0)</f>
        <v>-12.0107868020305</v>
      </c>
      <c r="Z37" s="82" t="n">
        <f aca="false">IFERROR(IF(Y37&gt;0,Y37*R37,0),0)</f>
        <v>0</v>
      </c>
      <c r="AA37" s="84" t="n">
        <f aca="false">IFERROR(E37*(1+$B$8),0)</f>
        <v>1.1774</v>
      </c>
      <c r="AB37" s="78" t="n">
        <f aca="false">IFERROR(N37-(D37/AA37)-I37-IF(B37="Import",(D37/AA37+I37)*J37,0)-IF(B37="Import",(D37/AA37+I37)*J37*$E$5,0)-O37-(N37*$B$9)-Q37,0)</f>
        <v>12.6639352598947</v>
      </c>
      <c r="AC37" s="78" t="n">
        <f aca="false">IFERROR(T37-AB37,0)</f>
        <v>-0.353310259894677</v>
      </c>
      <c r="AD37" s="81" t="n">
        <f aca="false">IFERROR(V37/SUM($V$15:$V$44),0)</f>
        <v>0.0256655654700354</v>
      </c>
      <c r="AE37" s="83" t="str">
        <f aca="false">IFERROR(IF(RANK(V37,V$15:V$44,0)/COUNTA(A$15:A$44)&lt;=0.2,"A",IF(RANK(V37,V$15:V$44,0)/COUNTA(A$15:A$44)&lt;=0.5,"B","C")),"-")</f>
        <v>C</v>
      </c>
      <c r="AF37" s="85" t="s">
        <v>387</v>
      </c>
      <c r="AG37" s="83" t="n">
        <f aca="true">IFERROR(IF(AF37="","",DATEDIF(AF37,TODAY(),"M")),"")</f>
        <v>16</v>
      </c>
      <c r="AH37" s="83" t="str">
        <f aca="false">IFERROR(IF(AG37="","-",IF(AG37&lt;6,"Launch",IF(AG37&lt;18,"Growth",IF(AG37&lt;48,"Mature","Decline")))),"-")</f>
        <v>Growth</v>
      </c>
      <c r="AI37" s="83" t="str">
        <f aca="false">IFERROR(IF(T37&lt;0,"DELETE - loss-making",IF(U37&lt;$B$7,"REPRICE - below margin floor",IF(U37&lt;$B$6,"Review pricing",IF(U37&lt;$B$5,"Maintain - below target","Protect &amp; Grow")))),"-")</f>
        <v>Protect &amp; Grow</v>
      </c>
    </row>
    <row r="38" customFormat="false" ht="21.75" hidden="false" customHeight="true" outlineLevel="0" collapsed="false">
      <c r="A38" s="75" t="s">
        <v>176</v>
      </c>
      <c r="B38" s="75" t="s">
        <v>367</v>
      </c>
      <c r="C38" s="75" t="s">
        <v>368</v>
      </c>
      <c r="D38" s="76" t="n">
        <v>36</v>
      </c>
      <c r="E38" s="77" t="n">
        <v>1</v>
      </c>
      <c r="F38" s="78" t="n">
        <f aca="false">IFERROR(D38/E38,0)</f>
        <v>36</v>
      </c>
      <c r="G38" s="79" t="n">
        <v>1000</v>
      </c>
      <c r="H38" s="79" t="n">
        <v>400</v>
      </c>
      <c r="I38" s="78" t="n">
        <f aca="false">IFERROR(IF(OR(H38=0,H38=""),0,G38/H38),0)</f>
        <v>2.5</v>
      </c>
      <c r="J38" s="80" t="n">
        <v>0</v>
      </c>
      <c r="K38" s="78" t="n">
        <f aca="false">IFERROR(IF(B38="Import",(F38+I38)*J38,0),0)</f>
        <v>0</v>
      </c>
      <c r="L38" s="78" t="n">
        <f aca="false">IFERROR(IF(B38="Import",(F38+I38+K38)*$E$5,0),0)</f>
        <v>0</v>
      </c>
      <c r="M38" s="78" t="n">
        <f aca="false">IFERROR(F38+I38+K38+L38,0)</f>
        <v>38.5</v>
      </c>
      <c r="N38" s="76" t="n">
        <v>55</v>
      </c>
      <c r="O38" s="76" t="n">
        <v>6</v>
      </c>
      <c r="P38" s="78" t="n">
        <f aca="false">IFERROR(N38*$B$9,0)</f>
        <v>0</v>
      </c>
      <c r="Q38" s="76" t="n">
        <v>2</v>
      </c>
      <c r="R38" s="79" t="n">
        <v>150</v>
      </c>
      <c r="S38" s="78" t="n">
        <f aca="false">IFERROR(N38-M38,0)</f>
        <v>16.5</v>
      </c>
      <c r="T38" s="78" t="n">
        <f aca="false">IFERROR(N38-M38-O38-P38-Q38,0)</f>
        <v>8.5</v>
      </c>
      <c r="U38" s="81" t="n">
        <f aca="false">IFERROR(T38/N38,0)</f>
        <v>0.154545454545455</v>
      </c>
      <c r="V38" s="82" t="n">
        <f aca="false">IFERROR(T38*R38,0)</f>
        <v>1275</v>
      </c>
      <c r="W38" s="83" t="n">
        <f aca="false">IFERROR(MIN(100,MAX(0,ROUND(U38/$B$5*100,0))),0)</f>
        <v>100</v>
      </c>
      <c r="X38" s="78" t="n">
        <f aca="false">IFERROR((M38+O38+P38+Q38)/(1-$B$5),0)</f>
        <v>47.2081218274112</v>
      </c>
      <c r="Y38" s="78" t="n">
        <f aca="false">IFERROR(X38-N38,0)</f>
        <v>-7.79187817258883</v>
      </c>
      <c r="Z38" s="82" t="n">
        <f aca="false">IFERROR(IF(Y38&gt;0,Y38*R38,0),0)</f>
        <v>0</v>
      </c>
      <c r="AA38" s="84" t="n">
        <f aca="false">IFERROR(E38*(1+$B$8),0)</f>
        <v>1.015</v>
      </c>
      <c r="AB38" s="78" t="n">
        <f aca="false">IFERROR(N38-(D38/AA38)-I38-IF(B38="Import",(D38/AA38+I38)*J38,0)-IF(B38="Import",(D38/AA38+I38)*J38*$E$5,0)-O38-(N38*$B$9)-Q38,0)</f>
        <v>9.0320197044335</v>
      </c>
      <c r="AC38" s="78" t="n">
        <f aca="false">IFERROR(T38-AB38,0)</f>
        <v>-0.532019704433495</v>
      </c>
      <c r="AD38" s="81" t="n">
        <f aca="false">IFERROR(V38/SUM($V$15:$V$44),0)</f>
        <v>0.0189868484536704</v>
      </c>
      <c r="AE38" s="83" t="str">
        <f aca="false">IFERROR(IF(RANK(V38,V$15:V$44,0)/COUNTA(A$15:A$44)&lt;=0.2,"A",IF(RANK(V38,V$15:V$44,0)/COUNTA(A$15:A$44)&lt;=0.5,"B","C")),"-")</f>
        <v>C</v>
      </c>
      <c r="AF38" s="85" t="s">
        <v>388</v>
      </c>
      <c r="AG38" s="83" t="n">
        <f aca="true">IFERROR(IF(AF38="","",DATEDIF(AF38,TODAY(),"M")),"")</f>
        <v>16</v>
      </c>
      <c r="AH38" s="83" t="str">
        <f aca="false">IFERROR(IF(AG38="","-",IF(AG38&lt;6,"Launch",IF(AG38&lt;18,"Growth",IF(AG38&lt;48,"Mature","Decline")))),"-")</f>
        <v>Growth</v>
      </c>
      <c r="AI38" s="83" t="str">
        <f aca="false">IFERROR(IF(T38&lt;0,"DELETE - loss-making",IF(U38&lt;$B$7,"REPRICE - below margin floor",IF(U38&lt;$B$6,"Review pricing",IF(U38&lt;$B$5,"Maintain - below target","Protect &amp; Grow")))),"-")</f>
        <v>Protect &amp; Grow</v>
      </c>
    </row>
    <row r="39" customFormat="false" ht="21.75" hidden="false" customHeight="true" outlineLevel="0" collapsed="false">
      <c r="A39" s="75" t="s">
        <v>177</v>
      </c>
      <c r="B39" s="75" t="s">
        <v>133</v>
      </c>
      <c r="C39" s="75" t="s">
        <v>361</v>
      </c>
      <c r="D39" s="76" t="n">
        <v>54</v>
      </c>
      <c r="E39" s="77" t="n">
        <v>1.27</v>
      </c>
      <c r="F39" s="78" t="n">
        <f aca="false">IFERROR(D39/E39,0)</f>
        <v>42.5196850393701</v>
      </c>
      <c r="G39" s="79" t="n">
        <v>1000</v>
      </c>
      <c r="H39" s="79" t="n">
        <v>400</v>
      </c>
      <c r="I39" s="78" t="n">
        <f aca="false">IFERROR(IF(OR(H39=0,H39=""),0,G39/H39),0)</f>
        <v>2.5</v>
      </c>
      <c r="J39" s="80" t="n">
        <v>0.05</v>
      </c>
      <c r="K39" s="78" t="n">
        <f aca="false">IFERROR(IF(B39="Import",(F39+I39)*J39,0),0)</f>
        <v>2.2509842519685</v>
      </c>
      <c r="L39" s="78" t="n">
        <f aca="false">IFERROR(IF(B39="Import",(F39+I39+K39)*$E$5,0),0)</f>
        <v>0.709060039370079</v>
      </c>
      <c r="M39" s="78" t="n">
        <f aca="false">IFERROR(F39+I39+K39+L39,0)</f>
        <v>47.9797293307087</v>
      </c>
      <c r="N39" s="76" t="n">
        <v>110</v>
      </c>
      <c r="O39" s="76" t="n">
        <v>12</v>
      </c>
      <c r="P39" s="78" t="n">
        <f aca="false">IFERROR(N39*$B$9,0)</f>
        <v>0</v>
      </c>
      <c r="Q39" s="76" t="n">
        <v>2</v>
      </c>
      <c r="R39" s="79" t="n">
        <v>35</v>
      </c>
      <c r="S39" s="78" t="n">
        <f aca="false">IFERROR(N39-M39,0)</f>
        <v>62.0202706692913</v>
      </c>
      <c r="T39" s="78" t="n">
        <f aca="false">IFERROR(N39-M39-O39-P39-Q39,0)</f>
        <v>48.0202706692913</v>
      </c>
      <c r="U39" s="81" t="n">
        <f aca="false">IFERROR(T39/N39,0)</f>
        <v>0.436547915175376</v>
      </c>
      <c r="V39" s="82" t="n">
        <f aca="false">IFERROR(T39*R39,0)</f>
        <v>1680.7094734252</v>
      </c>
      <c r="W39" s="83" t="n">
        <f aca="false">IFERROR(MIN(100,MAX(0,ROUND(U39/$B$5*100,0))),0)</f>
        <v>100</v>
      </c>
      <c r="X39" s="78" t="n">
        <f aca="false">IFERROR((M39+O39+P39+Q39)/(1-$B$5),0)</f>
        <v>62.9235830768616</v>
      </c>
      <c r="Y39" s="78" t="n">
        <f aca="false">IFERROR(X39-N39,0)</f>
        <v>-47.0764169231384</v>
      </c>
      <c r="Z39" s="82" t="n">
        <f aca="false">IFERROR(IF(Y39&gt;0,Y39*R39,0),0)</f>
        <v>0</v>
      </c>
      <c r="AA39" s="84" t="n">
        <f aca="false">IFERROR(E39*(1+$B$8),0)</f>
        <v>1.28905</v>
      </c>
      <c r="AB39" s="78" t="n">
        <f aca="false">IFERROR(N39-(D39/AA39)-I39-IF(B39="Import",(D39/AA39+I39)*J39,0)-IF(B39="Import",(D39/AA39+I39)*J39*$E$5,0)-O39-(N39*$B$9)-Q39,0)</f>
        <v>49.3558254383073</v>
      </c>
      <c r="AC39" s="78" t="n">
        <f aca="false">IFERROR(T39-AB39,0)</f>
        <v>-1.33555476901594</v>
      </c>
      <c r="AD39" s="81" t="n">
        <f aca="false">IFERROR(V39/SUM($V$15:$V$44),0)</f>
        <v>0.025028530248292</v>
      </c>
      <c r="AE39" s="83" t="str">
        <f aca="false">IFERROR(IF(RANK(V39,V$15:V$44,0)/COUNTA(A$15:A$44)&lt;=0.2,"A",IF(RANK(V39,V$15:V$44,0)/COUNTA(A$15:A$44)&lt;=0.5,"B","C")),"-")</f>
        <v>C</v>
      </c>
      <c r="AF39" s="85" t="s">
        <v>389</v>
      </c>
      <c r="AG39" s="83" t="n">
        <f aca="true">IFERROR(IF(AF39="","",DATEDIF(AF39,TODAY(),"M")),"")</f>
        <v>16</v>
      </c>
      <c r="AH39" s="83" t="str">
        <f aca="false">IFERROR(IF(AG39="","-",IF(AG39&lt;6,"Launch",IF(AG39&lt;18,"Growth",IF(AG39&lt;48,"Mature","Decline")))),"-")</f>
        <v>Growth</v>
      </c>
      <c r="AI39" s="83" t="str">
        <f aca="false">IFERROR(IF(T39&lt;0,"DELETE - loss-making",IF(U39&lt;$B$7,"REPRICE - below margin floor",IF(U39&lt;$B$6,"Review pricing",IF(U39&lt;$B$5,"Maintain - below target","Protect &amp; Grow")))),"-")</f>
        <v>Protect &amp; Grow</v>
      </c>
    </row>
    <row r="40" customFormat="false" ht="21.75" hidden="false" customHeight="true" outlineLevel="0" collapsed="false">
      <c r="A40" s="75" t="s">
        <v>178</v>
      </c>
      <c r="B40" s="75" t="s">
        <v>133</v>
      </c>
      <c r="C40" s="75" t="s">
        <v>364</v>
      </c>
      <c r="D40" s="76" t="n">
        <v>43</v>
      </c>
      <c r="E40" s="77" t="n">
        <v>1.16</v>
      </c>
      <c r="F40" s="78" t="n">
        <f aca="false">IFERROR(D40/E40,0)</f>
        <v>37.0689655172414</v>
      </c>
      <c r="G40" s="79" t="n">
        <v>1000</v>
      </c>
      <c r="H40" s="79" t="n">
        <v>400</v>
      </c>
      <c r="I40" s="78" t="n">
        <f aca="false">IFERROR(IF(OR(H40=0,H40=""),0,G40/H40),0)</f>
        <v>2.5</v>
      </c>
      <c r="J40" s="80" t="n">
        <v>0.05</v>
      </c>
      <c r="K40" s="78" t="n">
        <f aca="false">IFERROR(IF(B40="Import",(F40+I40)*J40,0),0)</f>
        <v>1.97844827586207</v>
      </c>
      <c r="L40" s="78" t="n">
        <f aca="false">IFERROR(IF(B40="Import",(F40+I40+K40)*$E$5,0),0)</f>
        <v>0.623211206896552</v>
      </c>
      <c r="M40" s="78" t="n">
        <f aca="false">IFERROR(F40+I40+K40+L40,0)</f>
        <v>42.170625</v>
      </c>
      <c r="N40" s="76" t="n">
        <v>75</v>
      </c>
      <c r="O40" s="76" t="n">
        <v>7</v>
      </c>
      <c r="P40" s="78" t="n">
        <f aca="false">IFERROR(N40*$B$9,0)</f>
        <v>0</v>
      </c>
      <c r="Q40" s="76" t="n">
        <v>2</v>
      </c>
      <c r="R40" s="79" t="n">
        <v>55</v>
      </c>
      <c r="S40" s="78" t="n">
        <f aca="false">IFERROR(N40-M40,0)</f>
        <v>32.829375</v>
      </c>
      <c r="T40" s="78" t="n">
        <f aca="false">IFERROR(N40-M40-O40-P40-Q40,0)</f>
        <v>23.829375</v>
      </c>
      <c r="U40" s="81" t="n">
        <f aca="false">IFERROR(T40/N40,0)</f>
        <v>0.317725</v>
      </c>
      <c r="V40" s="82" t="n">
        <f aca="false">IFERROR(T40*R40,0)</f>
        <v>1310.615625</v>
      </c>
      <c r="W40" s="83" t="n">
        <f aca="false">IFERROR(MIN(100,MAX(0,ROUND(U40/$B$5*100,0))),0)</f>
        <v>100</v>
      </c>
      <c r="X40" s="78" t="n">
        <f aca="false">IFERROR((M40+O40+P40+Q40)/(1-$B$5),0)</f>
        <v>51.9498730964467</v>
      </c>
      <c r="Y40" s="78" t="n">
        <f aca="false">IFERROR(X40-N40,0)</f>
        <v>-23.0501269035533</v>
      </c>
      <c r="Z40" s="82" t="n">
        <f aca="false">IFERROR(IF(Y40&gt;0,Y40*R40,0),0)</f>
        <v>0</v>
      </c>
      <c r="AA40" s="84" t="n">
        <f aca="false">IFERROR(E40*(1+$B$8),0)</f>
        <v>1.1774</v>
      </c>
      <c r="AB40" s="78" t="n">
        <f aca="false">IFERROR(N40-(D40/AA40)-I40-IF(B40="Import",(D40/AA40+I40)*J40,0)-IF(B40="Import",(D40/AA40+I40)*J40*$E$5,0)-O40-(N40*$B$9)-Q40,0)</f>
        <v>24.9985284312893</v>
      </c>
      <c r="AC40" s="78" t="n">
        <f aca="false">IFERROR(T40-AB40,0)</f>
        <v>-1.16915343128927</v>
      </c>
      <c r="AD40" s="81" t="n">
        <f aca="false">IFERROR(V40/SUM($V$15:$V$44),0)</f>
        <v>0.0195172237277549</v>
      </c>
      <c r="AE40" s="83" t="str">
        <f aca="false">IFERROR(IF(RANK(V40,V$15:V$44,0)/COUNTA(A$15:A$44)&lt;=0.2,"A",IF(RANK(V40,V$15:V$44,0)/COUNTA(A$15:A$44)&lt;=0.5,"B","C")),"-")</f>
        <v>C</v>
      </c>
      <c r="AF40" s="85" t="s">
        <v>390</v>
      </c>
      <c r="AG40" s="83" t="n">
        <f aca="true">IFERROR(IF(AF40="","",DATEDIF(AF40,TODAY(),"M")),"")</f>
        <v>16</v>
      </c>
      <c r="AH40" s="83" t="str">
        <f aca="false">IFERROR(IF(AG40="","-",IF(AG40&lt;6,"Launch",IF(AG40&lt;18,"Growth",IF(AG40&lt;48,"Mature","Decline")))),"-")</f>
        <v>Growth</v>
      </c>
      <c r="AI40" s="83" t="str">
        <f aca="false">IFERROR(IF(T40&lt;0,"DELETE - loss-making",IF(U40&lt;$B$7,"REPRICE - below margin floor",IF(U40&lt;$B$6,"Review pricing",IF(U40&lt;$B$5,"Maintain - below target","Protect &amp; Grow")))),"-")</f>
        <v>Protect &amp; Grow</v>
      </c>
    </row>
    <row r="41" customFormat="false" ht="21.75" hidden="false" customHeight="true" outlineLevel="0" collapsed="false">
      <c r="A41" s="75" t="s">
        <v>179</v>
      </c>
      <c r="B41" s="75" t="s">
        <v>367</v>
      </c>
      <c r="C41" s="75" t="s">
        <v>368</v>
      </c>
      <c r="D41" s="76" t="n">
        <v>30</v>
      </c>
      <c r="E41" s="77" t="n">
        <v>1</v>
      </c>
      <c r="F41" s="78" t="n">
        <f aca="false">IFERROR(D41/E41,0)</f>
        <v>30</v>
      </c>
      <c r="G41" s="79" t="n">
        <v>1000</v>
      </c>
      <c r="H41" s="79" t="n">
        <v>400</v>
      </c>
      <c r="I41" s="78" t="n">
        <f aca="false">IFERROR(IF(OR(H41=0,H41=""),0,G41/H41),0)</f>
        <v>2.5</v>
      </c>
      <c r="J41" s="80" t="n">
        <v>0</v>
      </c>
      <c r="K41" s="78" t="n">
        <f aca="false">IFERROR(IF(B41="Import",(F41+I41)*J41,0),0)</f>
        <v>0</v>
      </c>
      <c r="L41" s="78" t="n">
        <f aca="false">IFERROR(IF(B41="Import",(F41+I41+K41)*$E$5,0),0)</f>
        <v>0</v>
      </c>
      <c r="M41" s="78" t="n">
        <f aca="false">IFERROR(F41+I41+K41+L41,0)</f>
        <v>32.5</v>
      </c>
      <c r="N41" s="76" t="n">
        <v>80</v>
      </c>
      <c r="O41" s="76" t="n">
        <v>8</v>
      </c>
      <c r="P41" s="78" t="n">
        <f aca="false">IFERROR(N41*$B$9,0)</f>
        <v>0</v>
      </c>
      <c r="Q41" s="76" t="n">
        <v>2</v>
      </c>
      <c r="R41" s="79" t="n">
        <v>100</v>
      </c>
      <c r="S41" s="78" t="n">
        <f aca="false">IFERROR(N41-M41,0)</f>
        <v>47.5</v>
      </c>
      <c r="T41" s="78" t="n">
        <f aca="false">IFERROR(N41-M41-O41-P41-Q41,0)</f>
        <v>37.5</v>
      </c>
      <c r="U41" s="81" t="n">
        <f aca="false">IFERROR(T41/N41,0)</f>
        <v>0.46875</v>
      </c>
      <c r="V41" s="82" t="n">
        <f aca="false">IFERROR(T41*R41,0)</f>
        <v>3750</v>
      </c>
      <c r="W41" s="83" t="n">
        <f aca="false">IFERROR(MIN(100,MAX(0,ROUND(U41/$B$5*100,0))),0)</f>
        <v>100</v>
      </c>
      <c r="X41" s="78" t="n">
        <f aca="false">IFERROR((M41+O41+P41+Q41)/(1-$B$5),0)</f>
        <v>43.1472081218274</v>
      </c>
      <c r="Y41" s="78" t="n">
        <f aca="false">IFERROR(X41-N41,0)</f>
        <v>-36.8527918781726</v>
      </c>
      <c r="Z41" s="82" t="n">
        <f aca="false">IFERROR(IF(Y41&gt;0,Y41*R41,0),0)</f>
        <v>0</v>
      </c>
      <c r="AA41" s="84" t="n">
        <f aca="false">IFERROR(E41*(1+$B$8),0)</f>
        <v>1.015</v>
      </c>
      <c r="AB41" s="78" t="n">
        <f aca="false">IFERROR(N41-(D41/AA41)-I41-IF(B41="Import",(D41/AA41+I41)*J41,0)-IF(B41="Import",(D41/AA41+I41)*J41*$E$5,0)-O41-(N41*$B$9)-Q41,0)</f>
        <v>37.9433497536946</v>
      </c>
      <c r="AC41" s="78" t="n">
        <f aca="false">IFERROR(T41-AB41,0)</f>
        <v>-0.443349753694577</v>
      </c>
      <c r="AD41" s="81" t="n">
        <f aca="false">IFERROR(V41/SUM($V$15:$V$44),0)</f>
        <v>0.0558436719225599</v>
      </c>
      <c r="AE41" s="83" t="str">
        <f aca="false">IFERROR(IF(RANK(V41,V$15:V$44,0)/COUNTA(A$15:A$44)&lt;=0.2,"A",IF(RANK(V41,V$15:V$44,0)/COUNTA(A$15:A$44)&lt;=0.5,"B","C")),"-")</f>
        <v>A</v>
      </c>
      <c r="AF41" s="85" t="s">
        <v>391</v>
      </c>
      <c r="AG41" s="83" t="n">
        <f aca="true">IFERROR(IF(AF41="","",DATEDIF(AF41,TODAY(),"M")),"")</f>
        <v>16</v>
      </c>
      <c r="AH41" s="83" t="str">
        <f aca="false">IFERROR(IF(AG41="","-",IF(AG41&lt;6,"Launch",IF(AG41&lt;18,"Growth",IF(AG41&lt;48,"Mature","Decline")))),"-")</f>
        <v>Growth</v>
      </c>
      <c r="AI41" s="83" t="str">
        <f aca="false">IFERROR(IF(T41&lt;0,"DELETE - loss-making",IF(U41&lt;$B$7,"REPRICE - below margin floor",IF(U41&lt;$B$6,"Review pricing",IF(U41&lt;$B$5,"Maintain - below target","Protect &amp; Grow")))),"-")</f>
        <v>Protect &amp; Grow</v>
      </c>
    </row>
    <row r="42" customFormat="false" ht="21.75" hidden="false" customHeight="true" outlineLevel="0" collapsed="false">
      <c r="A42" s="75" t="s">
        <v>180</v>
      </c>
      <c r="B42" s="75" t="s">
        <v>133</v>
      </c>
      <c r="C42" s="75" t="s">
        <v>361</v>
      </c>
      <c r="D42" s="76" t="n">
        <v>22</v>
      </c>
      <c r="E42" s="77" t="n">
        <v>1.27</v>
      </c>
      <c r="F42" s="78" t="n">
        <f aca="false">IFERROR(D42/E42,0)</f>
        <v>17.3228346456693</v>
      </c>
      <c r="G42" s="79" t="n">
        <v>1000</v>
      </c>
      <c r="H42" s="79" t="n">
        <v>400</v>
      </c>
      <c r="I42" s="78" t="n">
        <f aca="false">IFERROR(IF(OR(H42=0,H42=""),0,G42/H42),0)</f>
        <v>2.5</v>
      </c>
      <c r="J42" s="80" t="n">
        <v>0.05</v>
      </c>
      <c r="K42" s="78" t="n">
        <f aca="false">IFERROR(IF(B42="Import",(F42+I42)*J42,0),0)</f>
        <v>0.991141732283465</v>
      </c>
      <c r="L42" s="78" t="n">
        <f aca="false">IFERROR(IF(B42="Import",(F42+I42+K42)*$E$5,0),0)</f>
        <v>0.312209645669291</v>
      </c>
      <c r="M42" s="78" t="n">
        <f aca="false">IFERROR(F42+I42+K42+L42,0)</f>
        <v>21.126186023622</v>
      </c>
      <c r="N42" s="76" t="n">
        <v>55</v>
      </c>
      <c r="O42" s="76" t="n">
        <v>6</v>
      </c>
      <c r="P42" s="78" t="n">
        <f aca="false">IFERROR(N42*$B$9,0)</f>
        <v>0</v>
      </c>
      <c r="Q42" s="76" t="n">
        <v>2</v>
      </c>
      <c r="R42" s="79" t="n">
        <v>180</v>
      </c>
      <c r="S42" s="78" t="n">
        <f aca="false">IFERROR(N42-M42,0)</f>
        <v>33.873813976378</v>
      </c>
      <c r="T42" s="78" t="n">
        <f aca="false">IFERROR(N42-M42-O42-P42-Q42,0)</f>
        <v>25.873813976378</v>
      </c>
      <c r="U42" s="81" t="n">
        <f aca="false">IFERROR(T42/N42,0)</f>
        <v>0.47043298138869</v>
      </c>
      <c r="V42" s="82" t="n">
        <f aca="false">IFERROR(T42*R42,0)</f>
        <v>4657.28651574803</v>
      </c>
      <c r="W42" s="83" t="n">
        <f aca="false">IFERROR(MIN(100,MAX(0,ROUND(U42/$B$5*100,0))),0)</f>
        <v>100</v>
      </c>
      <c r="X42" s="78" t="n">
        <f aca="false">IFERROR((M42+O42+P42+Q42)/(1-$B$5),0)</f>
        <v>29.5697320036772</v>
      </c>
      <c r="Y42" s="78" t="n">
        <f aca="false">IFERROR(X42-N42,0)</f>
        <v>-25.4302679963228</v>
      </c>
      <c r="Z42" s="82" t="n">
        <f aca="false">IFERROR(IF(Y42&gt;0,Y42*R42,0),0)</f>
        <v>0</v>
      </c>
      <c r="AA42" s="84" t="n">
        <f aca="false">IFERROR(E42*(1+$B$8),0)</f>
        <v>1.28905</v>
      </c>
      <c r="AB42" s="78" t="n">
        <f aca="false">IFERROR(N42-(D42/AA42)-I42-IF(B42="Import",(D42/AA42+I42)*J42,0)-IF(B42="Import",(D42/AA42+I42)*J42*$E$5,0)-O42-(N42*$B$9)-Q42,0)</f>
        <v>26.4401511044956</v>
      </c>
      <c r="AC42" s="78" t="n">
        <f aca="false">IFERROR(T42-AB42,0)</f>
        <v>-0.56633712811761</v>
      </c>
      <c r="AD42" s="81" t="n">
        <f aca="false">IFERROR(V42/SUM($V$15:$V$44),0)</f>
        <v>0.0693546613959453</v>
      </c>
      <c r="AE42" s="83" t="str">
        <f aca="false">IFERROR(IF(RANK(V42,V$15:V$44,0)/COUNTA(A$15:A$44)&lt;=0.2,"A",IF(RANK(V42,V$15:V$44,0)/COUNTA(A$15:A$44)&lt;=0.5,"B","C")),"-")</f>
        <v>A</v>
      </c>
      <c r="AF42" s="85" t="s">
        <v>392</v>
      </c>
      <c r="AG42" s="83" t="n">
        <f aca="true">IFERROR(IF(AF42="","",DATEDIF(AF42,TODAY(),"M")),"")</f>
        <v>16</v>
      </c>
      <c r="AH42" s="83" t="str">
        <f aca="false">IFERROR(IF(AG42="","-",IF(AG42&lt;6,"Launch",IF(AG42&lt;18,"Growth",IF(AG42&lt;48,"Mature","Decline")))),"-")</f>
        <v>Growth</v>
      </c>
      <c r="AI42" s="83" t="str">
        <f aca="false">IFERROR(IF(T42&lt;0,"DELETE - loss-making",IF(U42&lt;$B$7,"REPRICE - below margin floor",IF(U42&lt;$B$6,"Review pricing",IF(U42&lt;$B$5,"Maintain - below target","Protect &amp; Grow")))),"-")</f>
        <v>Protect &amp; Grow</v>
      </c>
    </row>
    <row r="43" customFormat="false" ht="21.75" hidden="false" customHeight="true" outlineLevel="0" collapsed="false">
      <c r="A43" s="75" t="s">
        <v>181</v>
      </c>
      <c r="B43" s="75" t="s">
        <v>133</v>
      </c>
      <c r="C43" s="75" t="s">
        <v>364</v>
      </c>
      <c r="D43" s="76" t="n">
        <v>52</v>
      </c>
      <c r="E43" s="77" t="n">
        <v>1.16</v>
      </c>
      <c r="F43" s="78" t="n">
        <f aca="false">IFERROR(D43/E43,0)</f>
        <v>44.8275862068966</v>
      </c>
      <c r="G43" s="79" t="n">
        <v>1000</v>
      </c>
      <c r="H43" s="79" t="n">
        <v>400</v>
      </c>
      <c r="I43" s="78" t="n">
        <f aca="false">IFERROR(IF(OR(H43=0,H43=""),0,G43/H43),0)</f>
        <v>2.5</v>
      </c>
      <c r="J43" s="80" t="n">
        <v>0.05</v>
      </c>
      <c r="K43" s="78" t="n">
        <f aca="false">IFERROR(IF(B43="Import",(F43+I43)*J43,0),0)</f>
        <v>2.36637931034483</v>
      </c>
      <c r="L43" s="78" t="n">
        <f aca="false">IFERROR(IF(B43="Import",(F43+I43+K43)*$E$5,0),0)</f>
        <v>0.745409482758621</v>
      </c>
      <c r="M43" s="78" t="n">
        <f aca="false">IFERROR(F43+I43+K43+L43,0)</f>
        <v>50.439375</v>
      </c>
      <c r="N43" s="76" t="n">
        <v>95</v>
      </c>
      <c r="O43" s="76" t="n">
        <v>10</v>
      </c>
      <c r="P43" s="78" t="n">
        <f aca="false">IFERROR(N43*$B$9,0)</f>
        <v>0</v>
      </c>
      <c r="Q43" s="76" t="n">
        <v>2</v>
      </c>
      <c r="R43" s="79" t="n">
        <v>65</v>
      </c>
      <c r="S43" s="78" t="n">
        <f aca="false">IFERROR(N43-M43,0)</f>
        <v>44.560625</v>
      </c>
      <c r="T43" s="78" t="n">
        <f aca="false">IFERROR(N43-M43-O43-P43-Q43,0)</f>
        <v>32.560625</v>
      </c>
      <c r="U43" s="81" t="n">
        <f aca="false">IFERROR(T43/N43,0)</f>
        <v>0.342743421052632</v>
      </c>
      <c r="V43" s="82" t="n">
        <f aca="false">IFERROR(T43*R43,0)</f>
        <v>2116.440625</v>
      </c>
      <c r="W43" s="83" t="n">
        <f aca="false">IFERROR(MIN(100,MAX(0,ROUND(U43/$B$5*100,0))),0)</f>
        <v>100</v>
      </c>
      <c r="X43" s="78" t="n">
        <f aca="false">IFERROR((M43+O43+P43+Q43)/(1-$B$5),0)</f>
        <v>63.3902284263959</v>
      </c>
      <c r="Y43" s="78" t="n">
        <f aca="false">IFERROR(X43-N43,0)</f>
        <v>-31.6097715736041</v>
      </c>
      <c r="Z43" s="82" t="n">
        <f aca="false">IFERROR(IF(Y43&gt;0,Y43*R43,0),0)</f>
        <v>0</v>
      </c>
      <c r="AA43" s="84" t="n">
        <f aca="false">IFERROR(E43*(1+$B$8),0)</f>
        <v>1.1774</v>
      </c>
      <c r="AB43" s="78" t="n">
        <f aca="false">IFERROR(N43-(D43/AA43)-I43-IF(B43="Import",(D43/AA43+I43)*J43,0)-IF(B43="Import",(D43/AA43+I43)*J43*$E$5,0)-O43-(N43*$B$9)-Q43,0)</f>
        <v>33.9666361262103</v>
      </c>
      <c r="AC43" s="78" t="n">
        <f aca="false">IFERROR(T43-AB43,0)</f>
        <v>-1.40601112621028</v>
      </c>
      <c r="AD43" s="81" t="n">
        <f aca="false">IFERROR(V43/SUM($V$15:$V$44),0)</f>
        <v>0.0315172842416207</v>
      </c>
      <c r="AE43" s="83" t="str">
        <f aca="false">IFERROR(IF(RANK(V43,V$15:V$44,0)/COUNTA(A$15:A$44)&lt;=0.2,"A",IF(RANK(V43,V$15:V$44,0)/COUNTA(A$15:A$44)&lt;=0.5,"B","C")),"-")</f>
        <v>B</v>
      </c>
      <c r="AF43" s="85" t="s">
        <v>393</v>
      </c>
      <c r="AG43" s="83" t="n">
        <f aca="true">IFERROR(IF(AF43="","",DATEDIF(AF43,TODAY(),"M")),"")</f>
        <v>16</v>
      </c>
      <c r="AH43" s="83" t="str">
        <f aca="false">IFERROR(IF(AG43="","-",IF(AG43&lt;6,"Launch",IF(AG43&lt;18,"Growth",IF(AG43&lt;48,"Mature","Decline")))),"-")</f>
        <v>Growth</v>
      </c>
      <c r="AI43" s="83" t="str">
        <f aca="false">IFERROR(IF(T43&lt;0,"DELETE - loss-making",IF(U43&lt;$B$7,"REPRICE - below margin floor",IF(U43&lt;$B$6,"Review pricing",IF(U43&lt;$B$5,"Maintain - below target","Protect &amp; Grow")))),"-")</f>
        <v>Protect &amp; Grow</v>
      </c>
    </row>
    <row r="44" customFormat="false" ht="21.75" hidden="false" customHeight="true" outlineLevel="0" collapsed="false">
      <c r="A44" s="75" t="s">
        <v>182</v>
      </c>
      <c r="B44" s="75" t="s">
        <v>367</v>
      </c>
      <c r="C44" s="75" t="s">
        <v>368</v>
      </c>
      <c r="D44" s="76" t="n">
        <v>12</v>
      </c>
      <c r="E44" s="77" t="n">
        <v>1</v>
      </c>
      <c r="F44" s="78" t="n">
        <f aca="false">IFERROR(D44/E44,0)</f>
        <v>12</v>
      </c>
      <c r="G44" s="79" t="n">
        <v>1000</v>
      </c>
      <c r="H44" s="79" t="n">
        <v>400</v>
      </c>
      <c r="I44" s="78" t="n">
        <f aca="false">IFERROR(IF(OR(H44=0,H44=""),0,G44/H44),0)</f>
        <v>2.5</v>
      </c>
      <c r="J44" s="80" t="n">
        <v>0</v>
      </c>
      <c r="K44" s="78" t="n">
        <f aca="false">IFERROR(IF(B44="Import",(F44+I44)*J44,0),0)</f>
        <v>0</v>
      </c>
      <c r="L44" s="78" t="n">
        <f aca="false">IFERROR(IF(B44="Import",(F44+I44+K44)*$E$5,0),0)</f>
        <v>0</v>
      </c>
      <c r="M44" s="78" t="n">
        <f aca="false">IFERROR(F44+I44+K44+L44,0)</f>
        <v>14.5</v>
      </c>
      <c r="N44" s="76" t="n">
        <v>39</v>
      </c>
      <c r="O44" s="76" t="n">
        <v>5</v>
      </c>
      <c r="P44" s="78" t="n">
        <f aca="false">IFERROR(N44*$B$9,0)</f>
        <v>0</v>
      </c>
      <c r="Q44" s="76" t="n">
        <v>2</v>
      </c>
      <c r="R44" s="79" t="n">
        <v>180</v>
      </c>
      <c r="S44" s="78" t="n">
        <f aca="false">IFERROR(N44-M44,0)</f>
        <v>24.5</v>
      </c>
      <c r="T44" s="78" t="n">
        <f aca="false">IFERROR(N44-M44-O44-P44-Q44,0)</f>
        <v>17.5</v>
      </c>
      <c r="U44" s="81" t="n">
        <f aca="false">IFERROR(T44/N44,0)</f>
        <v>0.448717948717949</v>
      </c>
      <c r="V44" s="82" t="n">
        <f aca="false">IFERROR(T44*R44,0)</f>
        <v>3150</v>
      </c>
      <c r="W44" s="83" t="n">
        <f aca="false">IFERROR(MIN(100,MAX(0,ROUND(U44/$B$5*100,0))),0)</f>
        <v>100</v>
      </c>
      <c r="X44" s="78" t="n">
        <f aca="false">IFERROR((M44+O44+P44+Q44)/(1-$B$5),0)</f>
        <v>21.8274111675127</v>
      </c>
      <c r="Y44" s="78" t="n">
        <f aca="false">IFERROR(X44-N44,0)</f>
        <v>-17.1725888324873</v>
      </c>
      <c r="Z44" s="82" t="n">
        <f aca="false">IFERROR(IF(Y44&gt;0,Y44*R44,0),0)</f>
        <v>0</v>
      </c>
      <c r="AA44" s="84" t="n">
        <f aca="false">IFERROR(E44*(1+$B$8),0)</f>
        <v>1.015</v>
      </c>
      <c r="AB44" s="78" t="n">
        <f aca="false">IFERROR(N44-(D44/AA44)-I44-IF(B44="Import",(D44/AA44+I44)*J44,0)-IF(B44="Import",(D44/AA44+I44)*J44*$E$5,0)-O44-(N44*$B$9)-Q44,0)</f>
        <v>17.6773399014778</v>
      </c>
      <c r="AC44" s="78" t="n">
        <f aca="false">IFERROR(T44-AB44,0)</f>
        <v>-0.177339901477829</v>
      </c>
      <c r="AD44" s="81" t="n">
        <f aca="false">IFERROR(V44/SUM($V$15:$V$44),0)</f>
        <v>0.0469086844149503</v>
      </c>
      <c r="AE44" s="83" t="str">
        <f aca="false">IFERROR(IF(RANK(V44,V$15:V$44,0)/COUNTA(A$15:A$44)&lt;=0.2,"A",IF(RANK(V44,V$15:V$44,0)/COUNTA(A$15:A$44)&lt;=0.5,"B","C")),"-")</f>
        <v>A</v>
      </c>
      <c r="AF44" s="85" t="s">
        <v>394</v>
      </c>
      <c r="AG44" s="83" t="n">
        <f aca="true">IFERROR(IF(AF44="","",DATEDIF(AF44,TODAY(),"M")),"")</f>
        <v>16</v>
      </c>
      <c r="AH44" s="83" t="str">
        <f aca="false">IFERROR(IF(AG44="","-",IF(AG44&lt;6,"Launch",IF(AG44&lt;18,"Growth",IF(AG44&lt;48,"Mature","Decline")))),"-")</f>
        <v>Growth</v>
      </c>
      <c r="AI44" s="83" t="str">
        <f aca="false">IFERROR(IF(T44&lt;0,"DELETE - loss-making",IF(U44&lt;$B$7,"REPRICE - below margin floor",IF(U44&lt;$B$6,"Review pricing",IF(U44&lt;$B$5,"Maintain - below target","Protect &amp; Grow")))),"-")</f>
        <v>Protect &amp; Grow</v>
      </c>
    </row>
    <row r="45" customFormat="false" ht="21.75" hidden="false" customHeight="true" outlineLevel="0" collapsed="false">
      <c r="A45" s="53" t="s">
        <v>395</v>
      </c>
      <c r="U45" s="86" t="n">
        <f aca="false">IFERROR(AVERAGEIF(U15:U44,"&gt;0"),0)</f>
        <v>0.381803033774045</v>
      </c>
      <c r="V45" s="46" t="n">
        <f aca="false">SUM(V15:V44)</f>
        <v>67151.7446990277</v>
      </c>
    </row>
  </sheetData>
  <mergeCells count="5">
    <mergeCell ref="A1:AJ1"/>
    <mergeCell ref="A2:AI2"/>
    <mergeCell ref="A3:AJ3"/>
    <mergeCell ref="A10:AJ10"/>
    <mergeCell ref="A11:AJ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12" min="2" style="1" width="16"/>
  </cols>
  <sheetData>
    <row r="1" customFormat="false" ht="27.75" hidden="false" customHeight="true" outlineLevel="0" collapsed="false">
      <c r="A1" s="14" t="s">
        <v>396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5" hidden="false" customHeight="true" outlineLevel="0" collapsed="false">
      <c r="A2" s="15" t="s">
        <v>397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36" hidden="false" customHeight="true" outlineLevel="0" collapsed="false">
      <c r="A3" s="87" t="s">
        <v>398</v>
      </c>
      <c r="B3" s="88" t="n">
        <f aca="false">COUNTIF('📊 Profit Analyzer'!A15:A44,"&lt;&gt;")</f>
        <v>30</v>
      </c>
      <c r="C3" s="87" t="s">
        <v>399</v>
      </c>
      <c r="D3" s="89" t="n">
        <f aca="false">IFERROR('📊 Profit Analyzer'!V45,0)</f>
        <v>67151.7446990277</v>
      </c>
      <c r="E3" s="87" t="s">
        <v>400</v>
      </c>
      <c r="F3" s="90" t="n">
        <f aca="false">IFERROR(AVERAGEIF('📊 Profit Analyzer'!U15:U44,"&gt;0"),0)</f>
        <v>0.381803033774045</v>
      </c>
      <c r="G3" s="87" t="s">
        <v>401</v>
      </c>
      <c r="H3" s="88" t="n">
        <f aca="false">COUNTIF('📊 Profit Analyzer'!T15:T44,"&lt;0")</f>
        <v>0</v>
      </c>
      <c r="I3" s="87" t="s">
        <v>402</v>
      </c>
      <c r="J3" s="89" t="n">
        <f aca="false">IFERROR(SUMIF('📊 Profit Analyzer'!Y15:Y44,"&gt;0",'📊 Profit Analyzer'!Z15:Z44),0)</f>
        <v>0</v>
      </c>
      <c r="K3" s="87" t="s">
        <v>403</v>
      </c>
      <c r="L3" s="88" t="n">
        <f aca="false">COUNTIF('📊 Profit Analyzer'!AC15:AC44,"&gt;0")</f>
        <v>0</v>
      </c>
    </row>
    <row r="4" customFormat="false" ht="21.75" hidden="false" customHeight="true" outlineLevel="0" collapsed="false">
      <c r="A4" s="8" t="s">
        <v>404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customFormat="false" ht="21.75" hidden="false" customHeight="true" outlineLevel="0" collapsed="false">
      <c r="A5" s="22" t="s">
        <v>405</v>
      </c>
      <c r="B5" s="22" t="s">
        <v>125</v>
      </c>
      <c r="C5" s="22" t="s">
        <v>406</v>
      </c>
      <c r="D5" s="22" t="s">
        <v>407</v>
      </c>
      <c r="E5" s="22" t="s">
        <v>408</v>
      </c>
      <c r="G5" s="22" t="s">
        <v>405</v>
      </c>
      <c r="H5" s="22" t="s">
        <v>125</v>
      </c>
      <c r="I5" s="22" t="s">
        <v>308</v>
      </c>
      <c r="J5" s="22" t="s">
        <v>407</v>
      </c>
      <c r="L5" s="22" t="s">
        <v>409</v>
      </c>
    </row>
    <row r="6" customFormat="false" ht="21.75" hidden="false" customHeight="true" outlineLevel="0" collapsed="false">
      <c r="A6" s="24" t="n">
        <v>1</v>
      </c>
      <c r="B6" s="91" t="str">
        <f aca="false">IFERROR(INDEX('📊 Profit Analyzer'!$A$15:$A$44,MATCH(LARGE('📊 Profit Analyzer'!$V$15:$V$44,1),'📊 Profit Analyzer'!$V$15:$V$44,0)),"-")</f>
        <v>Product 28</v>
      </c>
      <c r="C6" s="63" t="n">
        <f aca="false">IFERROR(LARGE('📊 Profit Analyzer'!$V$15:$V$44,1),0)</f>
        <v>4657.28651574803</v>
      </c>
      <c r="D6" s="92" t="n">
        <f aca="false">IFERROR(INDEX('📊 Profit Analyzer'!$U$15:$U$44,MATCH(LARGE('📊 Profit Analyzer'!$V$15:$V$44,1),'📊 Profit Analyzer'!$V$15:$V$44,0)),0)</f>
        <v>0.47043298138869</v>
      </c>
      <c r="E6" s="91" t="str">
        <f aca="false">IFERROR(INDEX('📊 Profit Analyzer'!$AE$15:$AE$44,MATCH(LARGE('📊 Profit Analyzer'!$V$15:$V$44,1),'📊 Profit Analyzer'!$V$15:$V$44,0)),"-")</f>
        <v>A</v>
      </c>
      <c r="G6" s="93" t="n">
        <v>1</v>
      </c>
      <c r="H6" s="91" t="str">
        <f aca="false">IFERROR(INDEX('📊 Profit Analyzer'!$A$15:$A$44,MATCH(SMALL('📊 Profit Analyzer'!$T$15:$T$44,1),'📊 Profit Analyzer'!$T$15:$T$44,0)),"-")</f>
        <v>Product 24</v>
      </c>
      <c r="I6" s="94" t="n">
        <f aca="false">IFERROR(SMALL('📊 Profit Analyzer'!$T$15:$T$44,1),0)</f>
        <v>8.5</v>
      </c>
      <c r="J6" s="92" t="n">
        <f aca="false">IFERROR(INDEX('📊 Profit Analyzer'!$U$15:$U$44,MATCH(SMALL('📊 Profit Analyzer'!$T$15:$T$44,1),'📊 Profit Analyzer'!$T$15:$T$44,0)),0)</f>
        <v>0.154545454545455</v>
      </c>
      <c r="L6" s="91" t="str">
        <f aca="false">IFERROR(INDEX('📊 Profit Analyzer'!$AI$15:$AI$44,MATCH(SMALL('📊 Profit Analyzer'!$T$15:$T$44,1),'📊 Profit Analyzer'!$T$15:$T$44,0)),"-")</f>
        <v>Protect &amp; Grow</v>
      </c>
    </row>
    <row r="7" customFormat="false" ht="21.75" hidden="false" customHeight="true" outlineLevel="0" collapsed="false">
      <c r="A7" s="30" t="n">
        <v>2</v>
      </c>
      <c r="B7" s="62" t="str">
        <f aca="false">IFERROR(INDEX('📊 Profit Analyzer'!$A$15:$A$44,MATCH(LARGE('📊 Profit Analyzer'!$V$15:$V$44,2),'📊 Profit Analyzer'!$V$15:$V$44,0)),"-")</f>
        <v>Product 27</v>
      </c>
      <c r="C7" s="95" t="n">
        <f aca="false">IFERROR(LARGE('📊 Profit Analyzer'!$V$15:$V$44,2),0)</f>
        <v>3750</v>
      </c>
      <c r="D7" s="96" t="n">
        <f aca="false">IFERROR(INDEX('📊 Profit Analyzer'!$U$15:$U$44,MATCH(LARGE('📊 Profit Analyzer'!$V$15:$V$44,2),'📊 Profit Analyzer'!$V$15:$V$44,0)),0)</f>
        <v>0.46875</v>
      </c>
      <c r="E7" s="62" t="str">
        <f aca="false">IFERROR(INDEX('📊 Profit Analyzer'!$AE$15:$AE$44,MATCH(LARGE('📊 Profit Analyzer'!$V$15:$V$44,2),'📊 Profit Analyzer'!$V$15:$V$44,0)),"-")</f>
        <v>A</v>
      </c>
      <c r="G7" s="97" t="n">
        <v>2</v>
      </c>
      <c r="H7" s="62" t="str">
        <f aca="false">IFERROR(INDEX('📊 Profit Analyzer'!$A$15:$A$44,MATCH(SMALL('📊 Profit Analyzer'!$T$15:$T$44,2),'📊 Profit Analyzer'!$T$15:$T$44,0)),"-")</f>
        <v>Product 19</v>
      </c>
      <c r="I7" s="98" t="n">
        <f aca="false">IFERROR(SMALL('📊 Profit Analyzer'!$T$15:$T$44,2),0)</f>
        <v>9.78306594488189</v>
      </c>
      <c r="J7" s="96" t="n">
        <f aca="false">IFERROR(INDEX('📊 Profit Analyzer'!$U$15:$U$44,MATCH(SMALL('📊 Profit Analyzer'!$T$15:$T$44,2),'📊 Profit Analyzer'!$T$15:$T$44,0)),0)</f>
        <v>0.407627747703412</v>
      </c>
      <c r="L7" s="62" t="str">
        <f aca="false">IFERROR(INDEX('📊 Profit Analyzer'!$AI$15:$AI$44,MATCH(SMALL('📊 Profit Analyzer'!$T$15:$T$44,2),'📊 Profit Analyzer'!$T$15:$T$44,0)),"-")</f>
        <v>Protect &amp; Grow</v>
      </c>
    </row>
    <row r="8" customFormat="false" ht="21.75" hidden="false" customHeight="true" outlineLevel="0" collapsed="false">
      <c r="A8" s="24" t="n">
        <v>3</v>
      </c>
      <c r="B8" s="91" t="str">
        <f aca="false">IFERROR(INDEX('📊 Profit Analyzer'!$A$15:$A$44,MATCH(LARGE('📊 Profit Analyzer'!$V$15:$V$44,3),'📊 Profit Analyzer'!$V$15:$V$44,0)),"-")</f>
        <v>Product 18</v>
      </c>
      <c r="C8" s="63" t="n">
        <f aca="false">IFERROR(LARGE('📊 Profit Analyzer'!$V$15:$V$44,3),0)</f>
        <v>3375</v>
      </c>
      <c r="D8" s="92" t="n">
        <f aca="false">IFERROR(INDEX('📊 Profit Analyzer'!$U$15:$U$44,MATCH(LARGE('📊 Profit Analyzer'!$V$15:$V$44,3),'📊 Profit Analyzer'!$V$15:$V$44,0)),0)</f>
        <v>0.409090909090909</v>
      </c>
      <c r="E8" s="91" t="str">
        <f aca="false">IFERROR(INDEX('📊 Profit Analyzer'!$AE$15:$AE$44,MATCH(LARGE('📊 Profit Analyzer'!$V$15:$V$44,3),'📊 Profit Analyzer'!$V$15:$V$44,0)),"-")</f>
        <v>A</v>
      </c>
      <c r="G8" s="93" t="n">
        <v>3</v>
      </c>
      <c r="H8" s="91" t="str">
        <f aca="false">IFERROR(INDEX('📊 Profit Analyzer'!$A$15:$A$44,MATCH(SMALL('📊 Profit Analyzer'!$T$15:$T$44,3),'📊 Profit Analyzer'!$T$15:$T$44,0)),"-")</f>
        <v>Product 20</v>
      </c>
      <c r="I8" s="94" t="n">
        <f aca="false">IFERROR(SMALL('📊 Profit Analyzer'!$T$15:$T$44,3),0)</f>
        <v>11.429375</v>
      </c>
      <c r="J8" s="92" t="n">
        <f aca="false">IFERROR(INDEX('📊 Profit Analyzer'!$U$15:$U$44,MATCH(SMALL('📊 Profit Analyzer'!$T$15:$T$44,3),'📊 Profit Analyzer'!$T$15:$T$44,0)),0)</f>
        <v>0.120309210526316</v>
      </c>
      <c r="L8" s="91" t="str">
        <f aca="false">IFERROR(INDEX('📊 Profit Analyzer'!$AI$15:$AI$44,MATCH(SMALL('📊 Profit Analyzer'!$T$15:$T$44,3),'📊 Profit Analyzer'!$T$15:$T$44,0)),"-")</f>
        <v>Protect &amp; Grow</v>
      </c>
    </row>
    <row r="9" customFormat="false" ht="21.75" hidden="false" customHeight="true" outlineLevel="0" collapsed="false">
      <c r="A9" s="30" t="n">
        <v>4</v>
      </c>
      <c r="B9" s="62" t="str">
        <f aca="false">IFERROR(INDEX('📊 Profit Analyzer'!$A$15:$A$44,MATCH(LARGE('📊 Profit Analyzer'!$V$15:$V$44,4),'📊 Profit Analyzer'!$V$15:$V$44,0)),"-")</f>
        <v>Wall Mirror</v>
      </c>
      <c r="C9" s="95" t="n">
        <f aca="false">IFERROR(LARGE('📊 Profit Analyzer'!$V$15:$V$44,4),0)</f>
        <v>3364.88845144357</v>
      </c>
      <c r="D9" s="96" t="n">
        <f aca="false">IFERROR(INDEX('📊 Profit Analyzer'!$U$15:$U$44,MATCH(LARGE('📊 Profit Analyzer'!$V$15:$V$44,4),'📊 Profit Analyzer'!$V$15:$V$44,0)),0)</f>
        <v>0.509916569646997</v>
      </c>
      <c r="E9" s="62" t="str">
        <f aca="false">IFERROR(INDEX('📊 Profit Analyzer'!$AE$15:$AE$44,MATCH(LARGE('📊 Profit Analyzer'!$V$15:$V$44,4),'📊 Profit Analyzer'!$V$15:$V$44,0)),"-")</f>
        <v>A</v>
      </c>
      <c r="G9" s="97" t="n">
        <v>4</v>
      </c>
      <c r="H9" s="62" t="str">
        <f aca="false">IFERROR(INDEX('📊 Profit Analyzer'!$A$15:$A$44,MATCH(SMALL('📊 Profit Analyzer'!$T$15:$T$44,4),'📊 Profit Analyzer'!$T$15:$T$44,0)),"-")</f>
        <v>Product 21</v>
      </c>
      <c r="I9" s="98" t="n">
        <f aca="false">IFERROR(SMALL('📊 Profit Analyzer'!$T$15:$T$44,4),0)</f>
        <v>11.5</v>
      </c>
      <c r="J9" s="96" t="n">
        <f aca="false">IFERROR(INDEX('📊 Profit Analyzer'!$U$15:$U$44,MATCH(SMALL('📊 Profit Analyzer'!$T$15:$T$44,4),'📊 Profit Analyzer'!$T$15:$T$44,0)),0)</f>
        <v>0.294871794871795</v>
      </c>
      <c r="L9" s="62" t="str">
        <f aca="false">IFERROR(INDEX('📊 Profit Analyzer'!$AI$15:$AI$44,MATCH(SMALL('📊 Profit Analyzer'!$T$15:$T$44,4),'📊 Profit Analyzer'!$T$15:$T$44,0)),"-")</f>
        <v>Protect &amp; Grow</v>
      </c>
    </row>
    <row r="10" customFormat="false" ht="21.75" hidden="false" customHeight="true" outlineLevel="0" collapsed="false">
      <c r="A10" s="24" t="n">
        <v>5</v>
      </c>
      <c r="B10" s="91" t="str">
        <f aca="false">IFERROR(INDEX('📊 Profit Analyzer'!$A$15:$A$44,MATCH(LARGE('📊 Profit Analyzer'!$V$15:$V$44,5),'📊 Profit Analyzer'!$V$15:$V$44,0)),"-")</f>
        <v>Bedside Table</v>
      </c>
      <c r="C10" s="63" t="n">
        <f aca="false">IFERROR(LARGE('📊 Profit Analyzer'!$V$15:$V$44,5),0)</f>
        <v>3282.125</v>
      </c>
      <c r="D10" s="92" t="n">
        <f aca="false">IFERROR(INDEX('📊 Profit Analyzer'!$U$15:$U$44,MATCH(LARGE('📊 Profit Analyzer'!$V$15:$V$44,5),'📊 Profit Analyzer'!$V$15:$V$44,0)),0)</f>
        <v>0.410368217054264</v>
      </c>
      <c r="E10" s="91" t="str">
        <f aca="false">IFERROR(INDEX('📊 Profit Analyzer'!$AE$15:$AE$44,MATCH(LARGE('📊 Profit Analyzer'!$V$15:$V$44,5),'📊 Profit Analyzer'!$V$15:$V$44,0)),"-")</f>
        <v>A</v>
      </c>
      <c r="G10" s="93" t="n">
        <v>5</v>
      </c>
      <c r="H10" s="91" t="str">
        <f aca="false">IFERROR(INDEX('📊 Profit Analyzer'!$A$15:$A$44,MATCH(SMALL('📊 Profit Analyzer'!$T$15:$T$44,5),'📊 Profit Analyzer'!$T$15:$T$44,0)),"-")</f>
        <v>Product 23</v>
      </c>
      <c r="I10" s="94" t="n">
        <f aca="false">IFERROR(SMALL('📊 Profit Analyzer'!$T$15:$T$44,5),0)</f>
        <v>12.310625</v>
      </c>
      <c r="J10" s="92" t="n">
        <f aca="false">IFERROR(INDEX('📊 Profit Analyzer'!$U$15:$U$44,MATCH(SMALL('📊 Profit Analyzer'!$T$15:$T$44,5),'📊 Profit Analyzer'!$T$15:$T$44,0)),0)</f>
        <v>0.38470703125</v>
      </c>
      <c r="L10" s="91" t="str">
        <f aca="false">IFERROR(INDEX('📊 Profit Analyzer'!$AI$15:$AI$44,MATCH(SMALL('📊 Profit Analyzer'!$T$15:$T$44,5),'📊 Profit Analyzer'!$T$15:$T$44,0)),"-")</f>
        <v>Protect &amp; Grow</v>
      </c>
    </row>
    <row r="11" customFormat="false" ht="21.75" hidden="false" customHeight="true" outlineLevel="0" collapsed="false">
      <c r="A11" s="30" t="n">
        <v>6</v>
      </c>
      <c r="B11" s="62" t="str">
        <f aca="false">IFERROR(INDEX('📊 Profit Analyzer'!$A$15:$A$44,MATCH(LARGE('📊 Profit Analyzer'!$V$15:$V$44,6),'📊 Profit Analyzer'!$V$15:$V$44,0)),"-")</f>
        <v>Product 30</v>
      </c>
      <c r="C11" s="95" t="n">
        <f aca="false">IFERROR(LARGE('📊 Profit Analyzer'!$V$15:$V$44,6),0)</f>
        <v>3150</v>
      </c>
      <c r="D11" s="96" t="n">
        <f aca="false">IFERROR(INDEX('📊 Profit Analyzer'!$U$15:$U$44,MATCH(LARGE('📊 Profit Analyzer'!$V$15:$V$44,6),'📊 Profit Analyzer'!$V$15:$V$44,0)),0)</f>
        <v>0.448717948717949</v>
      </c>
      <c r="E11" s="62" t="str">
        <f aca="false">IFERROR(INDEX('📊 Profit Analyzer'!$AE$15:$AE$44,MATCH(LARGE('📊 Profit Analyzer'!$V$15:$V$44,6),'📊 Profit Analyzer'!$V$15:$V$44,0)),"-")</f>
        <v>A</v>
      </c>
      <c r="G11" s="97" t="n">
        <v>6</v>
      </c>
      <c r="H11" s="62" t="str">
        <f aca="false">IFERROR(INDEX('📊 Profit Analyzer'!$A$15:$A$44,MATCH(SMALL('📊 Profit Analyzer'!$T$15:$T$44,6),'📊 Profit Analyzer'!$T$15:$T$44,0)),"-")</f>
        <v>Shoe Rack</v>
      </c>
      <c r="I11" s="98" t="n">
        <f aca="false">IFERROR(SMALL('📊 Profit Analyzer'!$T$15:$T$44,6),0)</f>
        <v>13.5565576234789</v>
      </c>
      <c r="J11" s="96" t="n">
        <f aca="false">IFERROR(INDEX('📊 Profit Analyzer'!$U$15:$U$44,MATCH(SMALL('📊 Profit Analyzer'!$T$15:$T$44,6),'📊 Profit Analyzer'!$T$15:$T$44,0)),0)</f>
        <v>0.38744091521803</v>
      </c>
      <c r="L11" s="62" t="str">
        <f aca="false">IFERROR(INDEX('📊 Profit Analyzer'!$AI$15:$AI$44,MATCH(SMALL('📊 Profit Analyzer'!$T$15:$T$44,6),'📊 Profit Analyzer'!$T$15:$T$44,0)),"-")</f>
        <v>Protect &amp; Grow</v>
      </c>
    </row>
    <row r="12" customFormat="false" ht="21.75" hidden="false" customHeight="true" outlineLevel="0" collapsed="false">
      <c r="A12" s="24" t="n">
        <v>7</v>
      </c>
      <c r="B12" s="91" t="str">
        <f aca="false">IFERROR(INDEX('📊 Profit Analyzer'!$A$15:$A$44,MATCH(LARGE('📊 Profit Analyzer'!$V$15:$V$44,7),'📊 Profit Analyzer'!$V$15:$V$44,0)),"-")</f>
        <v>Floor Lamp</v>
      </c>
      <c r="C12" s="63" t="n">
        <f aca="false">IFERROR(LARGE('📊 Profit Analyzer'!$V$15:$V$44,7),0)</f>
        <v>3058.2</v>
      </c>
      <c r="D12" s="92" t="n">
        <f aca="false">IFERROR(INDEX('📊 Profit Analyzer'!$U$15:$U$44,MATCH(LARGE('📊 Profit Analyzer'!$V$15:$V$44,7),'📊 Profit Analyzer'!$V$15:$V$44,0)),0)</f>
        <v>0.566522174058019</v>
      </c>
      <c r="E12" s="91" t="str">
        <f aca="false">IFERROR(INDEX('📊 Profit Analyzer'!$AE$15:$AE$44,MATCH(LARGE('📊 Profit Analyzer'!$V$15:$V$44,7),'📊 Profit Analyzer'!$V$15:$V$44,0)),"-")</f>
        <v>B</v>
      </c>
      <c r="G12" s="93" t="n">
        <v>7</v>
      </c>
      <c r="H12" s="91" t="str">
        <f aca="false">IFERROR(INDEX('📊 Profit Analyzer'!$A$15:$A$44,MATCH(SMALL('📊 Profit Analyzer'!$T$15:$T$44,7),'📊 Profit Analyzer'!$T$15:$T$44,0)),"-")</f>
        <v>Plant Stand</v>
      </c>
      <c r="I12" s="94" t="n">
        <f aca="false">IFERROR(SMALL('📊 Profit Analyzer'!$T$15:$T$44,7),0)</f>
        <v>13.99</v>
      </c>
      <c r="J12" s="92" t="n">
        <f aca="false">IFERROR(INDEX('📊 Profit Analyzer'!$U$15:$U$44,MATCH(SMALL('📊 Profit Analyzer'!$T$15:$T$44,7),'📊 Profit Analyzer'!$T$15:$T$44,0)),0)</f>
        <v>0.559823929571829</v>
      </c>
      <c r="L12" s="91" t="str">
        <f aca="false">IFERROR(INDEX('📊 Profit Analyzer'!$AI$15:$AI$44,MATCH(SMALL('📊 Profit Analyzer'!$T$15:$T$44,7),'📊 Profit Analyzer'!$T$15:$T$44,0)),"-")</f>
        <v>Protect &amp; Grow</v>
      </c>
    </row>
    <row r="13" customFormat="false" ht="21.75" hidden="false" customHeight="true" outlineLevel="0" collapsed="false">
      <c r="A13" s="30" t="n">
        <v>8</v>
      </c>
      <c r="B13" s="62" t="str">
        <f aca="false">IFERROR(INDEX('📊 Profit Analyzer'!$A$15:$A$44,MATCH(LARGE('📊 Profit Analyzer'!$V$15:$V$44,8),'📊 Profit Analyzer'!$V$15:$V$44,0)),"-")</f>
        <v>Product 17</v>
      </c>
      <c r="C13" s="95" t="n">
        <f aca="false">IFERROR(LARGE('📊 Profit Analyzer'!$V$15:$V$44,8),0)</f>
        <v>2599.1875</v>
      </c>
      <c r="D13" s="96" t="n">
        <f aca="false">IFERROR(INDEX('📊 Profit Analyzer'!$U$15:$U$44,MATCH(LARGE('📊 Profit Analyzer'!$V$15:$V$44,8),'📊 Profit Analyzer'!$V$15:$V$44,0)),0)</f>
        <v>0.3248984375</v>
      </c>
      <c r="E13" s="62" t="str">
        <f aca="false">IFERROR(INDEX('📊 Profit Analyzer'!$AE$15:$AE$44,MATCH(LARGE('📊 Profit Analyzer'!$V$15:$V$44,8),'📊 Profit Analyzer'!$V$15:$V$44,0)),"-")</f>
        <v>B</v>
      </c>
      <c r="G13" s="97" t="n">
        <v>8</v>
      </c>
      <c r="H13" s="62" t="str">
        <f aca="false">IFERROR(INDEX('📊 Profit Analyzer'!$A$15:$A$44,MATCH(SMALL('📊 Profit Analyzer'!$T$15:$T$44,8),'📊 Profit Analyzer'!$T$15:$T$44,0)),"-")</f>
        <v>Bedside Table</v>
      </c>
      <c r="I13" s="98" t="n">
        <f aca="false">IFERROR(SMALL('📊 Profit Analyzer'!$T$15:$T$44,8),0)</f>
        <v>16.410625</v>
      </c>
      <c r="J13" s="96" t="n">
        <f aca="false">IFERROR(INDEX('📊 Profit Analyzer'!$U$15:$U$44,MATCH(SMALL('📊 Profit Analyzer'!$T$15:$T$44,8),'📊 Profit Analyzer'!$T$15:$T$44,0)),0)</f>
        <v>0.410368217054264</v>
      </c>
      <c r="L13" s="62" t="str">
        <f aca="false">IFERROR(INDEX('📊 Profit Analyzer'!$AI$15:$AI$44,MATCH(SMALL('📊 Profit Analyzer'!$T$15:$T$44,8),'📊 Profit Analyzer'!$T$15:$T$44,0)),"-")</f>
        <v>Protect &amp; Grow</v>
      </c>
    </row>
    <row r="14" customFormat="false" ht="21.75" hidden="false" customHeight="true" outlineLevel="0" collapsed="false">
      <c r="A14" s="24" t="n">
        <v>9</v>
      </c>
      <c r="B14" s="91" t="str">
        <f aca="false">IFERROR(INDEX('📊 Profit Analyzer'!$A$15:$A$44,MATCH(LARGE('📊 Profit Analyzer'!$V$15:$V$44,9),'📊 Profit Analyzer'!$V$15:$V$44,0)),"-")</f>
        <v>Coffee Table</v>
      </c>
      <c r="C14" s="63" t="n">
        <f aca="false">IFERROR(LARGE('📊 Profit Analyzer'!$V$15:$V$44,9),0)</f>
        <v>2585.71653543307</v>
      </c>
      <c r="D14" s="92" t="n">
        <f aca="false">IFERROR(INDEX('📊 Profit Analyzer'!$U$15:$U$44,MATCH(LARGE('📊 Profit Analyzer'!$V$15:$V$44,9),'📊 Profit Analyzer'!$V$15:$V$44,0)),0)</f>
        <v>0.359167204055044</v>
      </c>
      <c r="E14" s="91" t="str">
        <f aca="false">IFERROR(INDEX('📊 Profit Analyzer'!$AE$15:$AE$44,MATCH(LARGE('📊 Profit Analyzer'!$V$15:$V$44,9),'📊 Profit Analyzer'!$V$15:$V$44,0)),"-")</f>
        <v>B</v>
      </c>
      <c r="G14" s="93" t="n">
        <v>9</v>
      </c>
      <c r="H14" s="91" t="str">
        <f aca="false">IFERROR(INDEX('📊 Profit Analyzer'!$A$15:$A$44,MATCH(SMALL('📊 Profit Analyzer'!$T$15:$T$44,9),'📊 Profit Analyzer'!$T$15:$T$44,0)),"-")</f>
        <v>Floor Lamp</v>
      </c>
      <c r="I14" s="94" t="n">
        <f aca="false">IFERROR(SMALL('📊 Profit Analyzer'!$T$15:$T$44,9),0)</f>
        <v>16.99</v>
      </c>
      <c r="J14" s="92" t="n">
        <f aca="false">IFERROR(INDEX('📊 Profit Analyzer'!$U$15:$U$44,MATCH(SMALL('📊 Profit Analyzer'!$T$15:$T$44,9),'📊 Profit Analyzer'!$T$15:$T$44,0)),0)</f>
        <v>0.566522174058019</v>
      </c>
      <c r="L14" s="91" t="str">
        <f aca="false">IFERROR(INDEX('📊 Profit Analyzer'!$AI$15:$AI$44,MATCH(SMALL('📊 Profit Analyzer'!$T$15:$T$44,9),'📊 Profit Analyzer'!$T$15:$T$44,0)),"-")</f>
        <v>Protect &amp; Grow</v>
      </c>
    </row>
    <row r="15" customFormat="false" ht="21.75" hidden="false" customHeight="true" outlineLevel="0" collapsed="false">
      <c r="A15" s="30" t="n">
        <v>10</v>
      </c>
      <c r="B15" s="62" t="str">
        <f aca="false">IFERROR(INDEX('📊 Profit Analyzer'!$A$15:$A$44,MATCH(LARGE('📊 Profit Analyzer'!$V$15:$V$44,10),'📊 Profit Analyzer'!$V$15:$V$44,0)),"-")</f>
        <v>Bookshelf</v>
      </c>
      <c r="C15" s="95" t="n">
        <f aca="false">IFERROR(LARGE('📊 Profit Analyzer'!$V$15:$V$44,10),0)</f>
        <v>2576.221875</v>
      </c>
      <c r="D15" s="96" t="n">
        <f aca="false">IFERROR(INDEX('📊 Profit Analyzer'!$U$15:$U$44,MATCH(LARGE('📊 Profit Analyzer'!$V$15:$V$44,10),'📊 Profit Analyzer'!$V$15:$V$44,0)),0)</f>
        <v>0.387457136733819</v>
      </c>
      <c r="E15" s="62" t="str">
        <f aca="false">IFERROR(INDEX('📊 Profit Analyzer'!$AE$15:$AE$44,MATCH(LARGE('📊 Profit Analyzer'!$V$15:$V$44,10),'📊 Profit Analyzer'!$V$15:$V$44,0)),"-")</f>
        <v>B</v>
      </c>
      <c r="G15" s="97" t="n">
        <v>10</v>
      </c>
      <c r="H15" s="62" t="str">
        <f aca="false">IFERROR(INDEX('📊 Profit Analyzer'!$A$15:$A$44,MATCH(SMALL('📊 Profit Analyzer'!$T$15:$T$44,10),'📊 Profit Analyzer'!$T$15:$T$44,0)),"-")</f>
        <v>Product 30</v>
      </c>
      <c r="I15" s="98" t="n">
        <f aca="false">IFERROR(SMALL('📊 Profit Analyzer'!$T$15:$T$44,10),0)</f>
        <v>17.5</v>
      </c>
      <c r="J15" s="96" t="n">
        <f aca="false">IFERROR(INDEX('📊 Profit Analyzer'!$U$15:$U$44,MATCH(SMALL('📊 Profit Analyzer'!$T$15:$T$44,10),'📊 Profit Analyzer'!$T$15:$T$44,0)),0)</f>
        <v>0.448717948717949</v>
      </c>
      <c r="L15" s="62" t="str">
        <f aca="false">IFERROR(INDEX('📊 Profit Analyzer'!$AI$15:$AI$44,MATCH(SMALL('📊 Profit Analyzer'!$T$15:$T$44,10),'📊 Profit Analyzer'!$T$15:$T$44,0)),"-")</f>
        <v>Protect &amp; Grow</v>
      </c>
    </row>
  </sheetData>
  <mergeCells count="3">
    <mergeCell ref="A1:L1"/>
    <mergeCell ref="A2:L2"/>
    <mergeCell ref="A4:L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2" min="2" style="1" width="10"/>
    <col collapsed="false" customWidth="true" hidden="false" outlineLevel="0" max="24" min="23" style="1" width="14"/>
    <col collapsed="false" customWidth="true" hidden="false" outlineLevel="0" max="31" min="25" style="1" width="10"/>
  </cols>
  <sheetData>
    <row r="1" customFormat="false" ht="27.75" hidden="false" customHeight="true" outlineLevel="0" collapsed="false">
      <c r="A1" s="14" t="s">
        <v>410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customFormat="false" ht="15" hidden="false" customHeight="true" outlineLevel="0" collapsed="false">
      <c r="A2" s="15" t="s">
        <v>411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customFormat="false" ht="15" hidden="false" customHeight="true" outlineLevel="0" collapsed="false">
      <c r="A3" s="29" t="s">
        <v>412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customFormat="false" ht="21.75" hidden="false" customHeight="true" outlineLevel="0" collapsed="false">
      <c r="A4" s="8" t="s">
        <v>413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customFormat="false" ht="42" hidden="false" customHeight="true" outlineLevel="0" collapsed="false">
      <c r="A5" s="74" t="s">
        <v>125</v>
      </c>
      <c r="B5" s="74" t="s">
        <v>414</v>
      </c>
      <c r="C5" s="74" t="s">
        <v>415</v>
      </c>
      <c r="D5" s="74" t="s">
        <v>416</v>
      </c>
      <c r="E5" s="74" t="s">
        <v>417</v>
      </c>
      <c r="F5" s="74" t="s">
        <v>418</v>
      </c>
      <c r="G5" s="74" t="s">
        <v>419</v>
      </c>
      <c r="H5" s="74" t="s">
        <v>420</v>
      </c>
      <c r="I5" s="74" t="s">
        <v>421</v>
      </c>
      <c r="J5" s="74" t="s">
        <v>422</v>
      </c>
      <c r="K5" s="74" t="s">
        <v>423</v>
      </c>
      <c r="L5" s="74" t="s">
        <v>424</v>
      </c>
      <c r="M5" s="74" t="s">
        <v>425</v>
      </c>
      <c r="N5" s="74" t="s">
        <v>426</v>
      </c>
      <c r="O5" s="74" t="s">
        <v>427</v>
      </c>
      <c r="P5" s="74" t="s">
        <v>428</v>
      </c>
      <c r="Q5" s="74" t="s">
        <v>429</v>
      </c>
      <c r="S5" s="74" t="s">
        <v>430</v>
      </c>
      <c r="T5" s="74" t="s">
        <v>431</v>
      </c>
      <c r="U5" s="74" t="s">
        <v>432</v>
      </c>
      <c r="V5" s="74" t="s">
        <v>290</v>
      </c>
      <c r="W5" s="74" t="s">
        <v>291</v>
      </c>
      <c r="X5" s="74" t="s">
        <v>433</v>
      </c>
      <c r="Y5" s="74" t="s">
        <v>434</v>
      </c>
      <c r="Z5" s="74" t="s">
        <v>435</v>
      </c>
      <c r="AA5" s="74" t="s">
        <v>436</v>
      </c>
      <c r="AB5" s="74" t="s">
        <v>437</v>
      </c>
      <c r="AC5" s="74" t="s">
        <v>438</v>
      </c>
      <c r="AD5" s="74" t="s">
        <v>439</v>
      </c>
      <c r="AE5" s="74" t="s">
        <v>440</v>
      </c>
    </row>
    <row r="6" customFormat="false" ht="19.5" hidden="false" customHeight="true" outlineLevel="0" collapsed="false">
      <c r="A6" s="99" t="s">
        <v>441</v>
      </c>
      <c r="B6" s="76" t="n">
        <v>49.99</v>
      </c>
      <c r="C6" s="79" t="n">
        <v>95</v>
      </c>
      <c r="D6" s="79" t="n">
        <v>88</v>
      </c>
      <c r="E6" s="79" t="n">
        <v>102</v>
      </c>
      <c r="F6" s="79" t="n">
        <v>98</v>
      </c>
      <c r="G6" s="79" t="n">
        <v>110</v>
      </c>
      <c r="H6" s="79" t="n">
        <v>115</v>
      </c>
      <c r="I6" s="79" t="n">
        <v>90</v>
      </c>
      <c r="J6" s="79" t="n">
        <v>82</v>
      </c>
      <c r="K6" s="79" t="n">
        <v>120</v>
      </c>
      <c r="L6" s="79" t="n">
        <v>108</v>
      </c>
      <c r="M6" s="79" t="n">
        <v>105</v>
      </c>
      <c r="N6" s="79" t="n">
        <v>140</v>
      </c>
      <c r="O6" s="80" t="n">
        <v>0.08</v>
      </c>
      <c r="P6" s="80" t="n">
        <v>1.1</v>
      </c>
      <c r="Q6" s="80" t="n">
        <v>0.1</v>
      </c>
      <c r="R6" s="100" t="n">
        <f aca="false">IF(COUNTA(C6:N6)&gt;0,1,0)</f>
        <v>1</v>
      </c>
      <c r="S6" s="101" t="n">
        <f aca="false">IF(R6=1,SUM(C6:N6),0)</f>
        <v>1253</v>
      </c>
      <c r="T6" s="102" t="n">
        <f aca="false">IFERROR(IF(R6=1,S6/12,0),0)</f>
        <v>104.416666666667</v>
      </c>
      <c r="V6" s="101" t="n">
        <f aca="false">IFERROR(ROUND(IF(R6=1,S6*(1+O6)*P6*(1+Q6),U6*(1+O6)*P6*(1+Q6)),0),0)</f>
        <v>1637</v>
      </c>
      <c r="W6" s="101" t="n">
        <f aca="false">IFERROR(V6*B6,0)</f>
        <v>81833.63</v>
      </c>
      <c r="X6" s="100" t="str">
        <f aca="false">IF(R6=1,"HIST","BASE")</f>
        <v>HIST</v>
      </c>
      <c r="Y6" s="99" t="n">
        <v>350</v>
      </c>
      <c r="Z6" s="99" t="n">
        <v>4</v>
      </c>
      <c r="AA6" s="99" t="n">
        <v>2</v>
      </c>
      <c r="AB6" s="101" t="n">
        <f aca="false">IFERROR(MAX(0,ROUND((V6/52)*(Z6+AA6)-Y6,0)),0)</f>
        <v>0</v>
      </c>
      <c r="AC6" s="100" t="str">
        <f aca="false">IFERROR(IF(Y6="","-",IF(Y6&lt;(V6/52)*AA6,"⚠ LOW STOCK",IF(AB6&gt;0,"Order Needed","✓ OK"))),"-")</f>
        <v>✓ OK</v>
      </c>
      <c r="AD6" s="99" t="n">
        <v>18.5</v>
      </c>
      <c r="AE6" s="100" t="n">
        <f aca="false">IFERROR(IF(OR(AD6="",Y6=""),"-",AD6*Y6),"-")</f>
        <v>6475</v>
      </c>
    </row>
    <row r="7" customFormat="false" ht="19.5" hidden="false" customHeight="true" outlineLevel="0" collapsed="false">
      <c r="A7" s="99" t="s">
        <v>442</v>
      </c>
      <c r="B7" s="76" t="n">
        <v>89.99</v>
      </c>
      <c r="C7" s="79" t="n">
        <v>62</v>
      </c>
      <c r="D7" s="79" t="n">
        <v>58</v>
      </c>
      <c r="E7" s="79" t="n">
        <v>70</v>
      </c>
      <c r="F7" s="79" t="n">
        <v>65</v>
      </c>
      <c r="G7" s="79" t="n">
        <v>78</v>
      </c>
      <c r="H7" s="79" t="n">
        <v>82</v>
      </c>
      <c r="I7" s="79" t="n">
        <v>64</v>
      </c>
      <c r="J7" s="79" t="n">
        <v>55</v>
      </c>
      <c r="K7" s="79" t="n">
        <v>88</v>
      </c>
      <c r="L7" s="79" t="n">
        <v>78</v>
      </c>
      <c r="M7" s="79" t="n">
        <v>72</v>
      </c>
      <c r="N7" s="79" t="n">
        <v>98</v>
      </c>
      <c r="O7" s="80" t="n">
        <v>0.1</v>
      </c>
      <c r="P7" s="80" t="n">
        <v>1.2</v>
      </c>
      <c r="Q7" s="80" t="n">
        <v>0.12</v>
      </c>
      <c r="R7" s="100" t="n">
        <f aca="false">IF(COUNTA(C7:N7)&gt;0,1,0)</f>
        <v>1</v>
      </c>
      <c r="S7" s="101" t="n">
        <f aca="false">IF(R7=1,SUM(C7:N7),0)</f>
        <v>870</v>
      </c>
      <c r="T7" s="102" t="n">
        <f aca="false">IFERROR(IF(R7=1,S7/12,0),0)</f>
        <v>72.5</v>
      </c>
      <c r="V7" s="101" t="n">
        <f aca="false">IFERROR(ROUND(IF(R7=1,S7*(1+O7)*P7*(1+Q7),U7*(1+O7)*P7*(1+Q7)),0),0)</f>
        <v>1286</v>
      </c>
      <c r="W7" s="101" t="n">
        <f aca="false">IFERROR(V7*B7,0)</f>
        <v>115727.14</v>
      </c>
      <c r="X7" s="100" t="str">
        <f aca="false">IF(R7=1,"HIST","BASE")</f>
        <v>HIST</v>
      </c>
      <c r="Y7" s="99" t="n">
        <v>180</v>
      </c>
      <c r="Z7" s="99" t="n">
        <v>5</v>
      </c>
      <c r="AA7" s="99" t="n">
        <v>3</v>
      </c>
      <c r="AB7" s="101" t="n">
        <f aca="false">IFERROR(MAX(0,ROUND((V7/52)*(Z7+AA7)-Y7,0)),0)</f>
        <v>18</v>
      </c>
      <c r="AC7" s="100" t="str">
        <f aca="false">IFERROR(IF(Y7="","-",IF(Y7&lt;(V7/52)*AA7,"⚠ LOW STOCK",IF(AB7&gt;0,"Order Needed","✓ OK"))),"-")</f>
        <v>Order Needed</v>
      </c>
      <c r="AD7" s="99" t="n">
        <v>32.8</v>
      </c>
      <c r="AE7" s="100" t="n">
        <f aca="false">IFERROR(IF(OR(AD7="",Y7=""),"-",AD7*Y7),"-")</f>
        <v>5904</v>
      </c>
    </row>
    <row r="8" customFormat="false" ht="19.5" hidden="false" customHeight="true" outlineLevel="0" collapsed="false">
      <c r="A8" s="99" t="s">
        <v>443</v>
      </c>
      <c r="B8" s="76" t="n">
        <v>39.99</v>
      </c>
      <c r="C8" s="79" t="n">
        <v>155</v>
      </c>
      <c r="D8" s="79" t="n">
        <v>142</v>
      </c>
      <c r="E8" s="79" t="n">
        <v>165</v>
      </c>
      <c r="F8" s="79" t="n">
        <v>160</v>
      </c>
      <c r="G8" s="79" t="n">
        <v>175</v>
      </c>
      <c r="H8" s="79" t="n">
        <v>185</v>
      </c>
      <c r="I8" s="79" t="n">
        <v>148</v>
      </c>
      <c r="J8" s="79" t="n">
        <v>135</v>
      </c>
      <c r="K8" s="79" t="n">
        <v>192</v>
      </c>
      <c r="L8" s="79" t="n">
        <v>172</v>
      </c>
      <c r="M8" s="79" t="n">
        <v>162</v>
      </c>
      <c r="N8" s="79" t="n">
        <v>210</v>
      </c>
      <c r="O8" s="80" t="n">
        <v>0.06</v>
      </c>
      <c r="P8" s="80" t="n">
        <v>1</v>
      </c>
      <c r="Q8" s="80" t="n">
        <v>0.08</v>
      </c>
      <c r="R8" s="100" t="n">
        <f aca="false">IF(COUNTA(C8:N8)&gt;0,1,0)</f>
        <v>1</v>
      </c>
      <c r="S8" s="101" t="n">
        <f aca="false">IF(R8=1,SUM(C8:N8),0)</f>
        <v>2001</v>
      </c>
      <c r="T8" s="102" t="n">
        <f aca="false">IFERROR(IF(R8=1,S8/12,0),0)</f>
        <v>166.75</v>
      </c>
      <c r="V8" s="101" t="n">
        <f aca="false">IFERROR(ROUND(IF(R8=1,S8*(1+O8)*P8*(1+Q8),U8*(1+O8)*P8*(1+Q8)),0),0)</f>
        <v>2291</v>
      </c>
      <c r="W8" s="101" t="n">
        <f aca="false">IFERROR(V8*B8,0)</f>
        <v>91617.09</v>
      </c>
      <c r="X8" s="100" t="str">
        <f aca="false">IF(R8=1,"HIST","BASE")</f>
        <v>HIST</v>
      </c>
      <c r="Y8" s="99" t="n">
        <v>520</v>
      </c>
      <c r="Z8" s="99" t="n">
        <v>3</v>
      </c>
      <c r="AA8" s="99" t="n">
        <v>2</v>
      </c>
      <c r="AB8" s="101" t="n">
        <f aca="false">IFERROR(MAX(0,ROUND((V8/52)*(Z8+AA8)-Y8,0)),0)</f>
        <v>0</v>
      </c>
      <c r="AC8" s="100" t="str">
        <f aca="false">IFERROR(IF(Y8="","-",IF(Y8&lt;(V8/52)*AA8,"⚠ LOW STOCK",IF(AB8&gt;0,"Order Needed","✓ OK"))),"-")</f>
        <v>✓ OK</v>
      </c>
      <c r="AD8" s="99" t="n">
        <v>14.5</v>
      </c>
      <c r="AE8" s="100" t="n">
        <f aca="false">IFERROR(IF(OR(AD8="",Y8=""),"-",AD8*Y8),"-")</f>
        <v>7540</v>
      </c>
    </row>
    <row r="9" customFormat="false" ht="19.5" hidden="false" customHeight="true" outlineLevel="0" collapsed="false">
      <c r="A9" s="99" t="s">
        <v>444</v>
      </c>
      <c r="B9" s="76" t="n">
        <v>69.99</v>
      </c>
      <c r="C9" s="79" t="n">
        <v>72</v>
      </c>
      <c r="D9" s="79" t="n">
        <v>68</v>
      </c>
      <c r="E9" s="79" t="n">
        <v>80</v>
      </c>
      <c r="F9" s="79" t="n">
        <v>76</v>
      </c>
      <c r="G9" s="79" t="n">
        <v>88</v>
      </c>
      <c r="H9" s="79" t="n">
        <v>92</v>
      </c>
      <c r="I9" s="79" t="n">
        <v>72</v>
      </c>
      <c r="J9" s="79" t="n">
        <v>62</v>
      </c>
      <c r="K9" s="79" t="n">
        <v>98</v>
      </c>
      <c r="L9" s="79" t="n">
        <v>86</v>
      </c>
      <c r="M9" s="79" t="n">
        <v>80</v>
      </c>
      <c r="N9" s="79" t="n">
        <v>108</v>
      </c>
      <c r="O9" s="80" t="n">
        <v>0.08</v>
      </c>
      <c r="P9" s="80" t="n">
        <v>1.1</v>
      </c>
      <c r="Q9" s="80" t="n">
        <v>0.1</v>
      </c>
      <c r="R9" s="100" t="n">
        <f aca="false">IF(COUNTA(C9:N9)&gt;0,1,0)</f>
        <v>1</v>
      </c>
      <c r="S9" s="101" t="n">
        <f aca="false">IF(R9=1,SUM(C9:N9),0)</f>
        <v>982</v>
      </c>
      <c r="T9" s="102" t="n">
        <f aca="false">IFERROR(IF(R9=1,S9/12,0),0)</f>
        <v>81.8333333333333</v>
      </c>
      <c r="V9" s="101" t="n">
        <f aca="false">IFERROR(ROUND(IF(R9=1,S9*(1+O9)*P9*(1+Q9),U9*(1+O9)*P9*(1+Q9)),0),0)</f>
        <v>1283</v>
      </c>
      <c r="W9" s="101" t="n">
        <f aca="false">IFERROR(V9*B9,0)</f>
        <v>89797.17</v>
      </c>
      <c r="X9" s="100" t="str">
        <f aca="false">IF(R9=1,"HIST","BASE")</f>
        <v>HIST</v>
      </c>
      <c r="Y9" s="99" t="n">
        <v>220</v>
      </c>
      <c r="Z9" s="99" t="n">
        <v>4</v>
      </c>
      <c r="AA9" s="99" t="n">
        <v>2</v>
      </c>
      <c r="AB9" s="101" t="n">
        <f aca="false">IFERROR(MAX(0,ROUND((V9/52)*(Z9+AA9)-Y9,0)),0)</f>
        <v>0</v>
      </c>
      <c r="AC9" s="100" t="str">
        <f aca="false">IFERROR(IF(Y9="","-",IF(Y9&lt;(V9/52)*AA9,"⚠ LOW STOCK",IF(AB9&gt;0,"Order Needed","✓ OK"))),"-")</f>
        <v>✓ OK</v>
      </c>
      <c r="AD9" s="99" t="n">
        <v>24.5</v>
      </c>
      <c r="AE9" s="100" t="n">
        <f aca="false">IFERROR(IF(OR(AD9="",Y9=""),"-",AD9*Y9),"-")</f>
        <v>5390</v>
      </c>
    </row>
    <row r="10" customFormat="false" ht="19.5" hidden="false" customHeight="true" outlineLevel="0" collapsed="false">
      <c r="A10" s="99" t="s">
        <v>445</v>
      </c>
      <c r="B10" s="76" t="n">
        <v>29.99</v>
      </c>
      <c r="C10" s="79" t="n">
        <v>140</v>
      </c>
      <c r="D10" s="79" t="n">
        <v>130</v>
      </c>
      <c r="E10" s="79" t="n">
        <v>150</v>
      </c>
      <c r="F10" s="79" t="n">
        <v>145</v>
      </c>
      <c r="G10" s="79" t="n">
        <v>162</v>
      </c>
      <c r="H10" s="79" t="n">
        <v>170</v>
      </c>
      <c r="I10" s="79" t="n">
        <v>138</v>
      </c>
      <c r="J10" s="79" t="n">
        <v>122</v>
      </c>
      <c r="K10" s="79" t="n">
        <v>178</v>
      </c>
      <c r="L10" s="79" t="n">
        <v>158</v>
      </c>
      <c r="M10" s="79" t="n">
        <v>148</v>
      </c>
      <c r="N10" s="79" t="n">
        <v>198</v>
      </c>
      <c r="O10" s="80" t="n">
        <v>0.07</v>
      </c>
      <c r="P10" s="80" t="n">
        <v>1.1</v>
      </c>
      <c r="Q10" s="80" t="n">
        <v>0.1</v>
      </c>
      <c r="R10" s="100" t="n">
        <f aca="false">IF(COUNTA(C10:N10)&gt;0,1,0)</f>
        <v>1</v>
      </c>
      <c r="S10" s="101" t="n">
        <f aca="false">IF(R10=1,SUM(C10:N10),0)</f>
        <v>1839</v>
      </c>
      <c r="T10" s="102" t="n">
        <f aca="false">IFERROR(IF(R10=1,S10/12,0),0)</f>
        <v>153.25</v>
      </c>
      <c r="V10" s="101" t="n">
        <f aca="false">IFERROR(ROUND(IF(R10=1,S10*(1+O10)*P10*(1+Q10),U10*(1+O10)*P10*(1+Q10)),0),0)</f>
        <v>2381</v>
      </c>
      <c r="W10" s="101" t="n">
        <f aca="false">IFERROR(V10*B10,0)</f>
        <v>71406.19</v>
      </c>
      <c r="X10" s="100" t="str">
        <f aca="false">IF(R10=1,"HIST","BASE")</f>
        <v>HIST</v>
      </c>
      <c r="Y10" s="99" t="n">
        <v>450</v>
      </c>
      <c r="Z10" s="99" t="n">
        <v>3</v>
      </c>
      <c r="AA10" s="99" t="n">
        <v>2</v>
      </c>
      <c r="AB10" s="101" t="n">
        <f aca="false">IFERROR(MAX(0,ROUND((V10/52)*(Z10+AA10)-Y10,0)),0)</f>
        <v>0</v>
      </c>
      <c r="AC10" s="100" t="str">
        <f aca="false">IFERROR(IF(Y10="","-",IF(Y10&lt;(V10/52)*AA10,"⚠ LOW STOCK",IF(AB10&gt;0,"Order Needed","✓ OK"))),"-")</f>
        <v>✓ OK</v>
      </c>
      <c r="AD10" s="99" t="n">
        <v>9.8</v>
      </c>
      <c r="AE10" s="100" t="n">
        <f aca="false">IFERROR(IF(OR(AD10="",Y10=""),"-",AD10*Y10),"-")</f>
        <v>4410</v>
      </c>
    </row>
    <row r="11" customFormat="false" ht="19.5" hidden="false" customHeight="true" outlineLevel="0" collapsed="false">
      <c r="A11" s="99" t="s">
        <v>446</v>
      </c>
      <c r="B11" s="76" t="n">
        <v>59.99</v>
      </c>
      <c r="C11" s="79" t="n">
        <v>88</v>
      </c>
      <c r="D11" s="79" t="n">
        <v>82</v>
      </c>
      <c r="E11" s="79" t="n">
        <v>95</v>
      </c>
      <c r="F11" s="79" t="n">
        <v>90</v>
      </c>
      <c r="G11" s="79" t="n">
        <v>102</v>
      </c>
      <c r="H11" s="79" t="n">
        <v>108</v>
      </c>
      <c r="I11" s="79" t="n">
        <v>85</v>
      </c>
      <c r="J11" s="79" t="n">
        <v>75</v>
      </c>
      <c r="K11" s="79" t="n">
        <v>112</v>
      </c>
      <c r="L11" s="79" t="n">
        <v>98</v>
      </c>
      <c r="M11" s="79" t="n">
        <v>92</v>
      </c>
      <c r="N11" s="79" t="n">
        <v>122</v>
      </c>
      <c r="O11" s="80" t="n">
        <v>0.09</v>
      </c>
      <c r="P11" s="80" t="n">
        <v>1.2</v>
      </c>
      <c r="Q11" s="80" t="n">
        <v>0.12</v>
      </c>
      <c r="R11" s="100" t="n">
        <f aca="false">IF(COUNTA(C11:N11)&gt;0,1,0)</f>
        <v>1</v>
      </c>
      <c r="S11" s="101" t="n">
        <f aca="false">IF(R11=1,SUM(C11:N11),0)</f>
        <v>1149</v>
      </c>
      <c r="T11" s="102" t="n">
        <f aca="false">IFERROR(IF(R11=1,S11/12,0),0)</f>
        <v>95.75</v>
      </c>
      <c r="V11" s="101" t="n">
        <f aca="false">IFERROR(ROUND(IF(R11=1,S11*(1+O11)*P11*(1+Q11),U11*(1+O11)*P11*(1+Q11)),0),0)</f>
        <v>1683</v>
      </c>
      <c r="W11" s="101" t="n">
        <f aca="false">IFERROR(V11*B11,0)</f>
        <v>100963.17</v>
      </c>
      <c r="X11" s="100" t="str">
        <f aca="false">IF(R11=1,"HIST","BASE")</f>
        <v>HIST</v>
      </c>
      <c r="Y11" s="99" t="n">
        <v>280</v>
      </c>
      <c r="Z11" s="99" t="n">
        <v>4</v>
      </c>
      <c r="AA11" s="99" t="n">
        <v>3</v>
      </c>
      <c r="AB11" s="101" t="n">
        <f aca="false">IFERROR(MAX(0,ROUND((V11/52)*(Z11+AA11)-Y11,0)),0)</f>
        <v>0</v>
      </c>
      <c r="AC11" s="100" t="str">
        <f aca="false">IFERROR(IF(Y11="","-",IF(Y11&lt;(V11/52)*AA11,"⚠ LOW STOCK",IF(AB11&gt;0,"Order Needed","✓ OK"))),"-")</f>
        <v>✓ OK</v>
      </c>
      <c r="AD11" s="99" t="n">
        <v>16.5</v>
      </c>
      <c r="AE11" s="100" t="n">
        <f aca="false">IFERROR(IF(OR(AD11="",Y11=""),"-",AD11*Y11),"-")</f>
        <v>4620</v>
      </c>
    </row>
    <row r="12" customFormat="false" ht="19.5" hidden="false" customHeight="true" outlineLevel="0" collapsed="false">
      <c r="A12" s="99" t="s">
        <v>447</v>
      </c>
      <c r="B12" s="76" t="n">
        <v>129.99</v>
      </c>
      <c r="C12" s="79" t="n">
        <v>32</v>
      </c>
      <c r="D12" s="79" t="n">
        <v>28</v>
      </c>
      <c r="E12" s="79" t="n">
        <v>38</v>
      </c>
      <c r="F12" s="79" t="n">
        <v>34</v>
      </c>
      <c r="G12" s="79" t="n">
        <v>42</v>
      </c>
      <c r="H12" s="79" t="n">
        <v>48</v>
      </c>
      <c r="I12" s="79" t="n">
        <v>30</v>
      </c>
      <c r="J12" s="79" t="n">
        <v>25</v>
      </c>
      <c r="K12" s="79" t="n">
        <v>52</v>
      </c>
      <c r="L12" s="79" t="n">
        <v>44</v>
      </c>
      <c r="M12" s="79" t="n">
        <v>40</v>
      </c>
      <c r="N12" s="79" t="n">
        <v>58</v>
      </c>
      <c r="O12" s="80" t="n">
        <v>0.12</v>
      </c>
      <c r="P12" s="80" t="n">
        <v>1.3</v>
      </c>
      <c r="Q12" s="80" t="n">
        <v>0.15</v>
      </c>
      <c r="R12" s="100" t="n">
        <f aca="false">IF(COUNTA(C12:N12)&gt;0,1,0)</f>
        <v>1</v>
      </c>
      <c r="S12" s="101" t="n">
        <f aca="false">IF(R12=1,SUM(C12:N12),0)</f>
        <v>471</v>
      </c>
      <c r="T12" s="102" t="n">
        <f aca="false">IFERROR(IF(R12=1,S12/12,0),0)</f>
        <v>39.25</v>
      </c>
      <c r="V12" s="101" t="n">
        <f aca="false">IFERROR(ROUND(IF(R12=1,S12*(1+O12)*P12*(1+Q12),U12*(1+O12)*P12*(1+Q12)),0),0)</f>
        <v>789</v>
      </c>
      <c r="W12" s="101" t="n">
        <f aca="false">IFERROR(V12*B12,0)</f>
        <v>102562.11</v>
      </c>
      <c r="X12" s="100" t="str">
        <f aca="false">IF(R12=1,"HIST","BASE")</f>
        <v>HIST</v>
      </c>
      <c r="Y12" s="99" t="n">
        <v>120</v>
      </c>
      <c r="Z12" s="99" t="n">
        <v>6</v>
      </c>
      <c r="AA12" s="99" t="n">
        <v>3</v>
      </c>
      <c r="AB12" s="101" t="n">
        <f aca="false">IFERROR(MAX(0,ROUND((V12/52)*(Z12+AA12)-Y12,0)),0)</f>
        <v>17</v>
      </c>
      <c r="AC12" s="100" t="str">
        <f aca="false">IFERROR(IF(Y12="","-",IF(Y12&lt;(V12/52)*AA12,"⚠ LOW STOCK",IF(AB12&gt;0,"Order Needed","✓ OK"))),"-")</f>
        <v>Order Needed</v>
      </c>
      <c r="AD12" s="99" t="n">
        <v>49</v>
      </c>
      <c r="AE12" s="100" t="n">
        <f aca="false">IFERROR(IF(OR(AD12="",Y12=""),"-",AD12*Y12),"-")</f>
        <v>5880</v>
      </c>
    </row>
    <row r="13" customFormat="false" ht="19.5" hidden="false" customHeight="true" outlineLevel="0" collapsed="false">
      <c r="A13" s="99" t="s">
        <v>448</v>
      </c>
      <c r="B13" s="76" t="n">
        <v>49.99</v>
      </c>
      <c r="C13" s="79" t="n">
        <v>70</v>
      </c>
      <c r="D13" s="79" t="n">
        <v>65</v>
      </c>
      <c r="E13" s="79" t="n">
        <v>78</v>
      </c>
      <c r="F13" s="79" t="n">
        <v>74</v>
      </c>
      <c r="G13" s="79" t="n">
        <v>84</v>
      </c>
      <c r="H13" s="79" t="n">
        <v>90</v>
      </c>
      <c r="I13" s="79" t="n">
        <v>68</v>
      </c>
      <c r="J13" s="79" t="n">
        <v>58</v>
      </c>
      <c r="K13" s="79" t="n">
        <v>96</v>
      </c>
      <c r="L13" s="79" t="n">
        <v>84</v>
      </c>
      <c r="M13" s="79" t="n">
        <v>78</v>
      </c>
      <c r="N13" s="79" t="n">
        <v>104</v>
      </c>
      <c r="O13" s="80" t="n">
        <v>0.08</v>
      </c>
      <c r="P13" s="80" t="n">
        <v>1.1</v>
      </c>
      <c r="Q13" s="80" t="n">
        <v>0.1</v>
      </c>
      <c r="R13" s="100" t="n">
        <f aca="false">IF(COUNTA(C13:N13)&gt;0,1,0)</f>
        <v>1</v>
      </c>
      <c r="S13" s="101" t="n">
        <f aca="false">IF(R13=1,SUM(C13:N13),0)</f>
        <v>949</v>
      </c>
      <c r="T13" s="102" t="n">
        <f aca="false">IFERROR(IF(R13=1,S13/12,0),0)</f>
        <v>79.0833333333333</v>
      </c>
      <c r="V13" s="101" t="n">
        <f aca="false">IFERROR(ROUND(IF(R13=1,S13*(1+O13)*P13*(1+Q13),U13*(1+O13)*P13*(1+Q13)),0),0)</f>
        <v>1240</v>
      </c>
      <c r="W13" s="101" t="n">
        <f aca="false">IFERROR(V13*B13,0)</f>
        <v>61987.6</v>
      </c>
      <c r="X13" s="100" t="str">
        <f aca="false">IF(R13=1,"HIST","BASE")</f>
        <v>HIST</v>
      </c>
      <c r="Y13" s="99" t="n">
        <v>230</v>
      </c>
      <c r="Z13" s="99" t="n">
        <v>4</v>
      </c>
      <c r="AA13" s="99" t="n">
        <v>2</v>
      </c>
      <c r="AB13" s="101" t="n">
        <f aca="false">IFERROR(MAX(0,ROUND((V13/52)*(Z13+AA13)-Y13,0)),0)</f>
        <v>0</v>
      </c>
      <c r="AC13" s="100" t="str">
        <f aca="false">IFERROR(IF(Y13="","-",IF(Y13&lt;(V13/52)*AA13,"⚠ LOW STOCK",IF(AB13&gt;0,"Order Needed","✓ OK"))),"-")</f>
        <v>✓ OK</v>
      </c>
      <c r="AD13" s="99" t="n">
        <v>16.5</v>
      </c>
      <c r="AE13" s="100" t="n">
        <f aca="false">IFERROR(IF(OR(AD13="",Y13=""),"-",AD13*Y13),"-")</f>
        <v>3795</v>
      </c>
    </row>
    <row r="14" customFormat="false" ht="19.5" hidden="false" customHeight="true" outlineLevel="0" collapsed="false">
      <c r="A14" s="99" t="s">
        <v>449</v>
      </c>
      <c r="B14" s="76" t="n">
        <v>79.99</v>
      </c>
      <c r="C14" s="79" t="n">
        <v>50</v>
      </c>
      <c r="D14" s="79" t="n">
        <v>46</v>
      </c>
      <c r="E14" s="79" t="n">
        <v>56</v>
      </c>
      <c r="F14" s="79" t="n">
        <v>52</v>
      </c>
      <c r="G14" s="79" t="n">
        <v>62</v>
      </c>
      <c r="H14" s="79" t="n">
        <v>68</v>
      </c>
      <c r="I14" s="79" t="n">
        <v>48</v>
      </c>
      <c r="J14" s="79" t="n">
        <v>40</v>
      </c>
      <c r="K14" s="79" t="n">
        <v>74</v>
      </c>
      <c r="L14" s="79" t="n">
        <v>62</v>
      </c>
      <c r="M14" s="79" t="n">
        <v>58</v>
      </c>
      <c r="N14" s="79" t="n">
        <v>78</v>
      </c>
      <c r="O14" s="80" t="n">
        <v>0.1</v>
      </c>
      <c r="P14" s="80" t="n">
        <v>1.2</v>
      </c>
      <c r="Q14" s="80" t="n">
        <v>0.12</v>
      </c>
      <c r="R14" s="100" t="n">
        <f aca="false">IF(COUNTA(C14:N14)&gt;0,1,0)</f>
        <v>1</v>
      </c>
      <c r="S14" s="101" t="n">
        <f aca="false">IF(R14=1,SUM(C14:N14),0)</f>
        <v>694</v>
      </c>
      <c r="T14" s="102" t="n">
        <f aca="false">IFERROR(IF(R14=1,S14/12,0),0)</f>
        <v>57.8333333333333</v>
      </c>
      <c r="V14" s="101" t="n">
        <f aca="false">IFERROR(ROUND(IF(R14=1,S14*(1+O14)*P14*(1+Q14),U14*(1+O14)*P14*(1+Q14)),0),0)</f>
        <v>1026</v>
      </c>
      <c r="W14" s="101" t="n">
        <f aca="false">IFERROR(V14*B14,0)</f>
        <v>82069.74</v>
      </c>
      <c r="X14" s="100" t="str">
        <f aca="false">IF(R14=1,"HIST","BASE")</f>
        <v>HIST</v>
      </c>
      <c r="Y14" s="99" t="n">
        <v>165</v>
      </c>
      <c r="Z14" s="99" t="n">
        <v>5</v>
      </c>
      <c r="AA14" s="99" t="n">
        <v>3</v>
      </c>
      <c r="AB14" s="101" t="n">
        <f aca="false">IFERROR(MAX(0,ROUND((V14/52)*(Z14+AA14)-Y14,0)),0)</f>
        <v>0</v>
      </c>
      <c r="AC14" s="100" t="str">
        <f aca="false">IFERROR(IF(Y14="","-",IF(Y14&lt;(V14/52)*AA14,"⚠ LOW STOCK",IF(AB14&gt;0,"Order Needed","✓ OK"))),"-")</f>
        <v>✓ OK</v>
      </c>
      <c r="AD14" s="99" t="n">
        <v>28.5</v>
      </c>
      <c r="AE14" s="100" t="n">
        <f aca="false">IFERROR(IF(OR(AD14="",Y14=""),"-",AD14*Y14),"-")</f>
        <v>4702.5</v>
      </c>
    </row>
    <row r="15" customFormat="false" ht="19.5" hidden="false" customHeight="true" outlineLevel="0" collapsed="false">
      <c r="A15" s="99" t="s">
        <v>450</v>
      </c>
      <c r="B15" s="76" t="n">
        <v>99.99</v>
      </c>
      <c r="C15" s="79" t="n">
        <v>42</v>
      </c>
      <c r="D15" s="79" t="n">
        <v>38</v>
      </c>
      <c r="E15" s="79" t="n">
        <v>48</v>
      </c>
      <c r="F15" s="79" t="n">
        <v>44</v>
      </c>
      <c r="G15" s="79" t="n">
        <v>52</v>
      </c>
      <c r="H15" s="79" t="n">
        <v>58</v>
      </c>
      <c r="I15" s="79" t="n">
        <v>40</v>
      </c>
      <c r="J15" s="79" t="n">
        <v>34</v>
      </c>
      <c r="K15" s="79" t="n">
        <v>64</v>
      </c>
      <c r="L15" s="79" t="n">
        <v>54</v>
      </c>
      <c r="M15" s="79" t="n">
        <v>50</v>
      </c>
      <c r="N15" s="79" t="n">
        <v>68</v>
      </c>
      <c r="O15" s="80" t="n">
        <v>0.09</v>
      </c>
      <c r="P15" s="80" t="n">
        <v>1.2</v>
      </c>
      <c r="Q15" s="80" t="n">
        <v>0.12</v>
      </c>
      <c r="R15" s="100" t="n">
        <f aca="false">IF(COUNTA(C15:N15)&gt;0,1,0)</f>
        <v>1</v>
      </c>
      <c r="S15" s="101" t="n">
        <f aca="false">IF(R15=1,SUM(C15:N15),0)</f>
        <v>592</v>
      </c>
      <c r="T15" s="102" t="n">
        <f aca="false">IFERROR(IF(R15=1,S15/12,0),0)</f>
        <v>49.3333333333333</v>
      </c>
      <c r="V15" s="101" t="n">
        <f aca="false">IFERROR(ROUND(IF(R15=1,S15*(1+O15)*P15*(1+Q15),U15*(1+O15)*P15*(1+Q15)),0),0)</f>
        <v>867</v>
      </c>
      <c r="W15" s="101" t="n">
        <f aca="false">IFERROR(V15*B15,0)</f>
        <v>86691.33</v>
      </c>
      <c r="X15" s="100" t="str">
        <f aca="false">IF(R15=1,"HIST","BASE")</f>
        <v>HIST</v>
      </c>
      <c r="Y15" s="99" t="n">
        <v>140</v>
      </c>
      <c r="Z15" s="99" t="n">
        <v>5</v>
      </c>
      <c r="AA15" s="99" t="n">
        <v>3</v>
      </c>
      <c r="AB15" s="101" t="n">
        <f aca="false">IFERROR(MAX(0,ROUND((V15/52)*(Z15+AA15)-Y15,0)),0)</f>
        <v>0</v>
      </c>
      <c r="AC15" s="100" t="str">
        <f aca="false">IFERROR(IF(Y15="","-",IF(Y15&lt;(V15/52)*AA15,"⚠ LOW STOCK",IF(AB15&gt;0,"Order Needed","✓ OK"))),"-")</f>
        <v>✓ OK</v>
      </c>
      <c r="AD15" s="99" t="n">
        <v>36</v>
      </c>
      <c r="AE15" s="100" t="n">
        <f aca="false">IFERROR(IF(OR(AD15="",Y15=""),"-",AD15*Y15),"-")</f>
        <v>5040</v>
      </c>
    </row>
    <row r="16" customFormat="false" ht="19.5" hidden="false" customHeight="true" outlineLevel="0" collapsed="false">
      <c r="A16" s="99" t="s">
        <v>163</v>
      </c>
      <c r="B16" s="76" t="n">
        <v>34.99</v>
      </c>
      <c r="C16" s="79" t="n">
        <v>108</v>
      </c>
      <c r="D16" s="79" t="n">
        <v>98</v>
      </c>
      <c r="E16" s="79" t="n">
        <v>118</v>
      </c>
      <c r="F16" s="79" t="n">
        <v>112</v>
      </c>
      <c r="G16" s="79" t="n">
        <v>125</v>
      </c>
      <c r="H16" s="79" t="n">
        <v>132</v>
      </c>
      <c r="I16" s="79" t="n">
        <v>105</v>
      </c>
      <c r="J16" s="79" t="n">
        <v>92</v>
      </c>
      <c r="K16" s="79" t="n">
        <v>138</v>
      </c>
      <c r="L16" s="79" t="n">
        <v>122</v>
      </c>
      <c r="M16" s="79" t="n">
        <v>115</v>
      </c>
      <c r="N16" s="79" t="n">
        <v>152</v>
      </c>
      <c r="O16" s="80" t="n">
        <v>0.07</v>
      </c>
      <c r="P16" s="80" t="n">
        <v>1</v>
      </c>
      <c r="Q16" s="80" t="n">
        <v>0.08</v>
      </c>
      <c r="R16" s="100" t="n">
        <f aca="false">IF(COUNTA(C16:N16)&gt;0,1,0)</f>
        <v>1</v>
      </c>
      <c r="S16" s="101" t="n">
        <f aca="false">IF(R16=1,SUM(C16:N16),0)</f>
        <v>1417</v>
      </c>
      <c r="T16" s="102" t="n">
        <f aca="false">IFERROR(IF(R16=1,S16/12,0),0)</f>
        <v>118.083333333333</v>
      </c>
      <c r="V16" s="101" t="n">
        <f aca="false">IFERROR(ROUND(IF(R16=1,S16*(1+O16)*P16*(1+Q16),U16*(1+O16)*P16*(1+Q16)),0),0)</f>
        <v>1637</v>
      </c>
      <c r="W16" s="101" t="n">
        <f aca="false">IFERROR(V16*B16,0)</f>
        <v>57278.63</v>
      </c>
      <c r="X16" s="100" t="str">
        <f aca="false">IF(R16=1,"HIST","BASE")</f>
        <v>HIST</v>
      </c>
      <c r="Y16" s="99" t="n">
        <v>380</v>
      </c>
      <c r="Z16" s="99" t="n">
        <v>3</v>
      </c>
      <c r="AA16" s="99" t="n">
        <v>2</v>
      </c>
      <c r="AB16" s="101" t="n">
        <f aca="false">IFERROR(MAX(0,ROUND((V16/52)*(Z16+AA16)-Y16,0)),0)</f>
        <v>0</v>
      </c>
      <c r="AC16" s="100" t="str">
        <f aca="false">IFERROR(IF(Y16="","-",IF(Y16&lt;(V16/52)*AA16,"⚠ LOW STOCK",IF(AB16&gt;0,"Order Needed","✓ OK"))),"-")</f>
        <v>✓ OK</v>
      </c>
      <c r="AD16" s="99" t="n">
        <v>12.5</v>
      </c>
      <c r="AE16" s="100" t="n">
        <f aca="false">IFERROR(IF(OR(AD16="",Y16=""),"-",AD16*Y16),"-")</f>
        <v>4750</v>
      </c>
    </row>
    <row r="17" customFormat="false" ht="19.5" hidden="false" customHeight="true" outlineLevel="0" collapsed="false">
      <c r="A17" s="99" t="s">
        <v>164</v>
      </c>
      <c r="B17" s="76" t="n">
        <v>79.99</v>
      </c>
      <c r="C17" s="79" t="n">
        <v>55</v>
      </c>
      <c r="D17" s="79" t="n">
        <v>50</v>
      </c>
      <c r="E17" s="79" t="n">
        <v>62</v>
      </c>
      <c r="F17" s="79" t="n">
        <v>58</v>
      </c>
      <c r="G17" s="79" t="n">
        <v>68</v>
      </c>
      <c r="H17" s="79" t="n">
        <v>75</v>
      </c>
      <c r="I17" s="79" t="n">
        <v>52</v>
      </c>
      <c r="J17" s="79" t="n">
        <v>44</v>
      </c>
      <c r="K17" s="79" t="n">
        <v>80</v>
      </c>
      <c r="L17" s="79" t="n">
        <v>70</v>
      </c>
      <c r="M17" s="79" t="n">
        <v>65</v>
      </c>
      <c r="N17" s="79" t="n">
        <v>88</v>
      </c>
      <c r="O17" s="80" t="n">
        <v>0.1</v>
      </c>
      <c r="P17" s="80" t="n">
        <v>1.2</v>
      </c>
      <c r="Q17" s="80" t="n">
        <v>0.12</v>
      </c>
      <c r="R17" s="100" t="n">
        <f aca="false">IF(COUNTA(C17:N17)&gt;0,1,0)</f>
        <v>1</v>
      </c>
      <c r="S17" s="101" t="n">
        <f aca="false">IF(R17=1,SUM(C17:N17),0)</f>
        <v>767</v>
      </c>
      <c r="T17" s="102" t="n">
        <f aca="false">IFERROR(IF(R17=1,S17/12,0),0)</f>
        <v>63.9166666666667</v>
      </c>
      <c r="V17" s="101" t="n">
        <f aca="false">IFERROR(ROUND(IF(R17=1,S17*(1+O17)*P17*(1+Q17),U17*(1+O17)*P17*(1+Q17)),0),0)</f>
        <v>1134</v>
      </c>
      <c r="W17" s="101" t="n">
        <f aca="false">IFERROR(V17*B17,0)</f>
        <v>90708.66</v>
      </c>
      <c r="X17" s="100" t="str">
        <f aca="false">IF(R17=1,"HIST","BASE")</f>
        <v>HIST</v>
      </c>
      <c r="Y17" s="99" t="n">
        <v>185</v>
      </c>
      <c r="Z17" s="99" t="n">
        <v>5</v>
      </c>
      <c r="AA17" s="99" t="n">
        <v>3</v>
      </c>
      <c r="AB17" s="101" t="n">
        <f aca="false">IFERROR(MAX(0,ROUND((V17/52)*(Z17+AA17)-Y17,0)),0)</f>
        <v>0</v>
      </c>
      <c r="AC17" s="100" t="str">
        <f aca="false">IFERROR(IF(Y17="","-",IF(Y17&lt;(V17/52)*AA17,"⚠ LOW STOCK",IF(AB17&gt;0,"Order Needed","✓ OK"))),"-")</f>
        <v>✓ OK</v>
      </c>
      <c r="AD17" s="99" t="n">
        <v>28.5</v>
      </c>
      <c r="AE17" s="100" t="n">
        <f aca="false">IFERROR(IF(OR(AD17="",Y17=""),"-",AD17*Y17),"-")</f>
        <v>5272.5</v>
      </c>
    </row>
    <row r="18" customFormat="false" ht="19.5" hidden="false" customHeight="true" outlineLevel="0" collapsed="false">
      <c r="A18" s="99" t="s">
        <v>165</v>
      </c>
      <c r="B18" s="76" t="n">
        <v>34.99</v>
      </c>
      <c r="C18" s="79" t="n">
        <v>80</v>
      </c>
      <c r="D18" s="79" t="n">
        <v>74</v>
      </c>
      <c r="E18" s="79" t="n">
        <v>88</v>
      </c>
      <c r="F18" s="79" t="n">
        <v>84</v>
      </c>
      <c r="G18" s="79" t="n">
        <v>95</v>
      </c>
      <c r="H18" s="79" t="n">
        <v>102</v>
      </c>
      <c r="I18" s="79" t="n">
        <v>78</v>
      </c>
      <c r="J18" s="79" t="n">
        <v>68</v>
      </c>
      <c r="K18" s="79" t="n">
        <v>108</v>
      </c>
      <c r="L18" s="79" t="n">
        <v>94</v>
      </c>
      <c r="M18" s="79" t="n">
        <v>88</v>
      </c>
      <c r="N18" s="79" t="n">
        <v>118</v>
      </c>
      <c r="O18" s="80" t="n">
        <v>0.07</v>
      </c>
      <c r="P18" s="80" t="n">
        <v>1</v>
      </c>
      <c r="Q18" s="80" t="n">
        <v>0.08</v>
      </c>
      <c r="R18" s="100" t="n">
        <f aca="false">IF(COUNTA(C18:N18)&gt;0,1,0)</f>
        <v>1</v>
      </c>
      <c r="S18" s="101" t="n">
        <f aca="false">IF(R18=1,SUM(C18:N18),0)</f>
        <v>1077</v>
      </c>
      <c r="T18" s="102" t="n">
        <f aca="false">IFERROR(IF(R18=1,S18/12,0),0)</f>
        <v>89.75</v>
      </c>
      <c r="V18" s="101" t="n">
        <f aca="false">IFERROR(ROUND(IF(R18=1,S18*(1+O18)*P18*(1+Q18),U18*(1+O18)*P18*(1+Q18)),0),0)</f>
        <v>1245</v>
      </c>
      <c r="W18" s="101" t="n">
        <f aca="false">IFERROR(V18*B18,0)</f>
        <v>43562.55</v>
      </c>
      <c r="X18" s="100" t="str">
        <f aca="false">IF(R18=1,"HIST","BASE")</f>
        <v>HIST</v>
      </c>
      <c r="Y18" s="99" t="n">
        <v>280</v>
      </c>
      <c r="Z18" s="99" t="n">
        <v>4</v>
      </c>
      <c r="AA18" s="99" t="n">
        <v>2</v>
      </c>
      <c r="AB18" s="101" t="n">
        <f aca="false">IFERROR(MAX(0,ROUND((V18/52)*(Z18+AA18)-Y18,0)),0)</f>
        <v>0</v>
      </c>
      <c r="AC18" s="100" t="str">
        <f aca="false">IFERROR(IF(Y18="","-",IF(Y18&lt;(V18/52)*AA18,"⚠ LOW STOCK",IF(AB18&gt;0,"Order Needed","✓ OK"))),"-")</f>
        <v>✓ OK</v>
      </c>
      <c r="AD18" s="99" t="n">
        <v>12.5</v>
      </c>
      <c r="AE18" s="100" t="n">
        <f aca="false">IFERROR(IF(OR(AD18="",Y18=""),"-",AD18*Y18),"-")</f>
        <v>3500</v>
      </c>
    </row>
    <row r="19" customFormat="false" ht="19.5" hidden="false" customHeight="true" outlineLevel="0" collapsed="false">
      <c r="A19" s="99" t="s">
        <v>166</v>
      </c>
      <c r="B19" s="76" t="n">
        <v>24.99</v>
      </c>
      <c r="C19" s="79" t="n">
        <v>120</v>
      </c>
      <c r="D19" s="79" t="n">
        <v>110</v>
      </c>
      <c r="E19" s="79" t="n">
        <v>130</v>
      </c>
      <c r="F19" s="79" t="n">
        <v>124</v>
      </c>
      <c r="G19" s="79" t="n">
        <v>138</v>
      </c>
      <c r="H19" s="79" t="n">
        <v>148</v>
      </c>
      <c r="I19" s="79" t="n">
        <v>116</v>
      </c>
      <c r="J19" s="79" t="n">
        <v>102</v>
      </c>
      <c r="K19" s="79" t="n">
        <v>155</v>
      </c>
      <c r="L19" s="79" t="n">
        <v>138</v>
      </c>
      <c r="M19" s="79" t="n">
        <v>128</v>
      </c>
      <c r="N19" s="79" t="n">
        <v>168</v>
      </c>
      <c r="O19" s="80" t="n">
        <v>0.09</v>
      </c>
      <c r="P19" s="80" t="n">
        <v>1.1</v>
      </c>
      <c r="Q19" s="80" t="n">
        <v>0.1</v>
      </c>
      <c r="R19" s="100" t="n">
        <f aca="false">IF(COUNTA(C19:N19)&gt;0,1,0)</f>
        <v>1</v>
      </c>
      <c r="S19" s="101" t="n">
        <f aca="false">IF(R19=1,SUM(C19:N19),0)</f>
        <v>1577</v>
      </c>
      <c r="T19" s="102" t="n">
        <f aca="false">IFERROR(IF(R19=1,S19/12,0),0)</f>
        <v>131.416666666667</v>
      </c>
      <c r="V19" s="101" t="n">
        <f aca="false">IFERROR(ROUND(IF(R19=1,S19*(1+O19)*P19*(1+Q19),U19*(1+O19)*P19*(1+Q19)),0),0)</f>
        <v>2080</v>
      </c>
      <c r="W19" s="101" t="n">
        <f aca="false">IFERROR(V19*B19,0)</f>
        <v>51979.2</v>
      </c>
      <c r="X19" s="100" t="str">
        <f aca="false">IF(R19=1,"HIST","BASE")</f>
        <v>HIST</v>
      </c>
      <c r="Y19" s="99" t="n">
        <v>420</v>
      </c>
      <c r="Z19" s="99" t="n">
        <v>3</v>
      </c>
      <c r="AA19" s="99" t="n">
        <v>2</v>
      </c>
      <c r="AB19" s="101" t="n">
        <f aca="false">IFERROR(MAX(0,ROUND((V19/52)*(Z19+AA19)-Y19,0)),0)</f>
        <v>0</v>
      </c>
      <c r="AC19" s="100" t="str">
        <f aca="false">IFERROR(IF(Y19="","-",IF(Y19&lt;(V19/52)*AA19,"⚠ LOW STOCK",IF(AB19&gt;0,"Order Needed","✓ OK"))),"-")</f>
        <v>✓ OK</v>
      </c>
      <c r="AD19" s="99" t="n">
        <v>8.2</v>
      </c>
      <c r="AE19" s="100" t="n">
        <f aca="false">IFERROR(IF(OR(AD19="",Y19=""),"-",AD19*Y19),"-")</f>
        <v>3444</v>
      </c>
    </row>
    <row r="20" customFormat="false" ht="19.5" hidden="false" customHeight="true" outlineLevel="0" collapsed="false">
      <c r="A20" s="99" t="s">
        <v>167</v>
      </c>
      <c r="B20" s="76" t="n">
        <v>199.99</v>
      </c>
      <c r="C20" s="79" t="n">
        <v>18</v>
      </c>
      <c r="D20" s="79" t="n">
        <v>15</v>
      </c>
      <c r="E20" s="79" t="n">
        <v>22</v>
      </c>
      <c r="F20" s="79" t="n">
        <v>20</v>
      </c>
      <c r="G20" s="79" t="n">
        <v>26</v>
      </c>
      <c r="H20" s="79" t="n">
        <v>30</v>
      </c>
      <c r="I20" s="79" t="n">
        <v>16</v>
      </c>
      <c r="J20" s="79" t="n">
        <v>12</v>
      </c>
      <c r="K20" s="79" t="n">
        <v>34</v>
      </c>
      <c r="L20" s="79" t="n">
        <v>28</v>
      </c>
      <c r="M20" s="79" t="n">
        <v>24</v>
      </c>
      <c r="N20" s="79" t="n">
        <v>40</v>
      </c>
      <c r="O20" s="80" t="n">
        <v>0.15</v>
      </c>
      <c r="P20" s="80" t="n">
        <v>1.4</v>
      </c>
      <c r="Q20" s="80" t="n">
        <v>0.2</v>
      </c>
      <c r="R20" s="100" t="n">
        <f aca="false">IF(COUNTA(C20:N20)&gt;0,1,0)</f>
        <v>1</v>
      </c>
      <c r="S20" s="101" t="n">
        <f aca="false">IF(R20=1,SUM(C20:N20),0)</f>
        <v>285</v>
      </c>
      <c r="T20" s="102" t="n">
        <f aca="false">IFERROR(IF(R20=1,S20/12,0),0)</f>
        <v>23.75</v>
      </c>
      <c r="V20" s="101" t="n">
        <f aca="false">IFERROR(ROUND(IF(R20=1,S20*(1+O20)*P20*(1+Q20),U20*(1+O20)*P20*(1+Q20)),0),0)</f>
        <v>551</v>
      </c>
      <c r="W20" s="101" t="n">
        <f aca="false">IFERROR(V20*B20,0)</f>
        <v>110194.49</v>
      </c>
      <c r="X20" s="100" t="str">
        <f aca="false">IF(R20=1,"HIST","BASE")</f>
        <v>HIST</v>
      </c>
      <c r="Y20" s="99" t="n">
        <v>60</v>
      </c>
      <c r="Z20" s="99" t="n">
        <v>7</v>
      </c>
      <c r="AA20" s="99" t="n">
        <v>4</v>
      </c>
      <c r="AB20" s="101" t="n">
        <f aca="false">IFERROR(MAX(0,ROUND((V20/52)*(Z20+AA20)-Y20,0)),0)</f>
        <v>57</v>
      </c>
      <c r="AC20" s="100" t="str">
        <f aca="false">IFERROR(IF(Y20="","-",IF(Y20&lt;(V20/52)*AA20,"⚠ LOW STOCK",IF(AB20&gt;0,"Order Needed","✓ OK"))),"-")</f>
        <v>Order Needed</v>
      </c>
      <c r="AD20" s="99" t="n">
        <v>76</v>
      </c>
      <c r="AE20" s="100" t="n">
        <f aca="false">IFERROR(IF(OR(AD20="",Y20=""),"-",AD20*Y20),"-")</f>
        <v>4560</v>
      </c>
    </row>
    <row r="21" customFormat="false" ht="19.5" hidden="false" customHeight="true" outlineLevel="0" collapsed="false">
      <c r="A21" s="19" t="s">
        <v>168</v>
      </c>
      <c r="O21" s="80" t="n">
        <v>0.05</v>
      </c>
      <c r="P21" s="80" t="n">
        <v>1.05</v>
      </c>
      <c r="Q21" s="80" t="n">
        <v>0.1</v>
      </c>
      <c r="R21" s="100" t="n">
        <f aca="false">IF(COUNTA(C21:N21)&gt;0,1,0)</f>
        <v>0</v>
      </c>
      <c r="S21" s="100" t="n">
        <f aca="false">IF(R21=1,SUM(C21:N21),0)</f>
        <v>0</v>
      </c>
      <c r="T21" s="100" t="n">
        <f aca="false">IFERROR(IF(R21=1,S21/12,0),0)</f>
        <v>0</v>
      </c>
      <c r="U21" s="79" t="n">
        <v>1000</v>
      </c>
      <c r="V21" s="100" t="n">
        <f aca="false">IFERROR(ROUND(IF(R21=1,S21*(1+O21)*P21*(1+Q21),U21*(1+O21)*P21*(1+Q21)),0),0)</f>
        <v>1213</v>
      </c>
      <c r="W21" s="100" t="n">
        <f aca="false">IFERROR(V21*B21,0)</f>
        <v>0</v>
      </c>
      <c r="X21" s="100" t="str">
        <f aca="false">IF(R21=1,"HIST","BASE")</f>
        <v>BASE</v>
      </c>
      <c r="Z21" s="99" t="n">
        <v>4</v>
      </c>
      <c r="AA21" s="99" t="n">
        <v>2</v>
      </c>
      <c r="AB21" s="100" t="n">
        <f aca="false">IFERROR(MAX(0,ROUND((V21/52)*(Z21+AA21)-Y21,0)),0)</f>
        <v>140</v>
      </c>
      <c r="AC21" s="100" t="str">
        <f aca="false">IFERROR(IF(Y21="","-",IF(Y21&lt;(V21/52)*AA21,"⚠ LOW STOCK",IF(AB21&gt;0,"Order Needed","✓ OK"))),"-")</f>
        <v>-</v>
      </c>
      <c r="AE21" s="100" t="str">
        <f aca="false">IFERROR(IF(OR(AD21="",Y21=""),"-",AD21*Y21),"-")</f>
        <v>-</v>
      </c>
    </row>
    <row r="22" customFormat="false" ht="19.5" hidden="false" customHeight="true" outlineLevel="0" collapsed="false">
      <c r="A22" s="19" t="s">
        <v>169</v>
      </c>
      <c r="O22" s="80" t="n">
        <v>0.05</v>
      </c>
      <c r="P22" s="80" t="n">
        <v>1.05</v>
      </c>
      <c r="Q22" s="80" t="n">
        <v>0.1</v>
      </c>
      <c r="R22" s="100" t="n">
        <f aca="false">IF(COUNTA(C22:N22)&gt;0,1,0)</f>
        <v>0</v>
      </c>
      <c r="S22" s="100" t="n">
        <f aca="false">IF(R22=1,SUM(C22:N22),0)</f>
        <v>0</v>
      </c>
      <c r="T22" s="100" t="n">
        <f aca="false">IFERROR(IF(R22=1,S22/12,0),0)</f>
        <v>0</v>
      </c>
      <c r="U22" s="79" t="n">
        <v>1000</v>
      </c>
      <c r="V22" s="100" t="n">
        <f aca="false">IFERROR(ROUND(IF(R22=1,S22*(1+O22)*P22*(1+Q22),U22*(1+O22)*P22*(1+Q22)),0),0)</f>
        <v>1213</v>
      </c>
      <c r="W22" s="100" t="n">
        <f aca="false">IFERROR(V22*B22,0)</f>
        <v>0</v>
      </c>
      <c r="X22" s="100" t="str">
        <f aca="false">IF(R22=1,"HIST","BASE")</f>
        <v>BASE</v>
      </c>
      <c r="Z22" s="99" t="n">
        <v>4</v>
      </c>
      <c r="AA22" s="99" t="n">
        <v>2</v>
      </c>
      <c r="AB22" s="100" t="n">
        <f aca="false">IFERROR(MAX(0,ROUND((V22/52)*(Z22+AA22)-Y22,0)),0)</f>
        <v>140</v>
      </c>
      <c r="AC22" s="100" t="str">
        <f aca="false">IFERROR(IF(Y22="","-",IF(Y22&lt;(V22/52)*AA22,"⚠ LOW STOCK",IF(AB22&gt;0,"Order Needed","✓ OK"))),"-")</f>
        <v>-</v>
      </c>
      <c r="AE22" s="100" t="str">
        <f aca="false">IFERROR(IF(OR(AD22="",Y22=""),"-",AD22*Y22),"-")</f>
        <v>-</v>
      </c>
    </row>
    <row r="23" customFormat="false" ht="19.5" hidden="false" customHeight="true" outlineLevel="0" collapsed="false">
      <c r="A23" s="19" t="s">
        <v>170</v>
      </c>
      <c r="O23" s="80" t="n">
        <v>0.05</v>
      </c>
      <c r="P23" s="80" t="n">
        <v>1.05</v>
      </c>
      <c r="Q23" s="80" t="n">
        <v>0.1</v>
      </c>
      <c r="R23" s="100" t="n">
        <f aca="false">IF(COUNTA(C23:N23)&gt;0,1,0)</f>
        <v>0</v>
      </c>
      <c r="S23" s="100" t="n">
        <f aca="false">IF(R23=1,SUM(C23:N23),0)</f>
        <v>0</v>
      </c>
      <c r="T23" s="100" t="n">
        <f aca="false">IFERROR(IF(R23=1,S23/12,0),0)</f>
        <v>0</v>
      </c>
      <c r="U23" s="79" t="n">
        <v>1000</v>
      </c>
      <c r="V23" s="100" t="n">
        <f aca="false">IFERROR(ROUND(IF(R23=1,S23*(1+O23)*P23*(1+Q23),U23*(1+O23)*P23*(1+Q23)),0),0)</f>
        <v>1213</v>
      </c>
      <c r="W23" s="100" t="n">
        <f aca="false">IFERROR(V23*B23,0)</f>
        <v>0</v>
      </c>
      <c r="X23" s="100" t="str">
        <f aca="false">IF(R23=1,"HIST","BASE")</f>
        <v>BASE</v>
      </c>
      <c r="Z23" s="99" t="n">
        <v>4</v>
      </c>
      <c r="AA23" s="99" t="n">
        <v>2</v>
      </c>
      <c r="AB23" s="100" t="n">
        <f aca="false">IFERROR(MAX(0,ROUND((V23/52)*(Z23+AA23)-Y23,0)),0)</f>
        <v>140</v>
      </c>
      <c r="AC23" s="100" t="str">
        <f aca="false">IFERROR(IF(Y23="","-",IF(Y23&lt;(V23/52)*AA23,"⚠ LOW STOCK",IF(AB23&gt;0,"Order Needed","✓ OK"))),"-")</f>
        <v>-</v>
      </c>
      <c r="AE23" s="100" t="str">
        <f aca="false">IFERROR(IF(OR(AD23="",Y23=""),"-",AD23*Y23),"-")</f>
        <v>-</v>
      </c>
    </row>
    <row r="24" customFormat="false" ht="19.5" hidden="false" customHeight="true" outlineLevel="0" collapsed="false">
      <c r="A24" s="19" t="s">
        <v>171</v>
      </c>
      <c r="O24" s="80" t="n">
        <v>0.05</v>
      </c>
      <c r="P24" s="80" t="n">
        <v>1.05</v>
      </c>
      <c r="Q24" s="80" t="n">
        <v>0.1</v>
      </c>
      <c r="R24" s="100" t="n">
        <f aca="false">IF(COUNTA(C24:N24)&gt;0,1,0)</f>
        <v>0</v>
      </c>
      <c r="S24" s="100" t="n">
        <f aca="false">IF(R24=1,SUM(C24:N24),0)</f>
        <v>0</v>
      </c>
      <c r="T24" s="100" t="n">
        <f aca="false">IFERROR(IF(R24=1,S24/12,0),0)</f>
        <v>0</v>
      </c>
      <c r="U24" s="79" t="n">
        <v>1000</v>
      </c>
      <c r="V24" s="100" t="n">
        <f aca="false">IFERROR(ROUND(IF(R24=1,S24*(1+O24)*P24*(1+Q24),U24*(1+O24)*P24*(1+Q24)),0),0)</f>
        <v>1213</v>
      </c>
      <c r="W24" s="100" t="n">
        <f aca="false">IFERROR(V24*B24,0)</f>
        <v>0</v>
      </c>
      <c r="X24" s="100" t="str">
        <f aca="false">IF(R24=1,"HIST","BASE")</f>
        <v>BASE</v>
      </c>
      <c r="Z24" s="99" t="n">
        <v>4</v>
      </c>
      <c r="AA24" s="99" t="n">
        <v>2</v>
      </c>
      <c r="AB24" s="100" t="n">
        <f aca="false">IFERROR(MAX(0,ROUND((V24/52)*(Z24+AA24)-Y24,0)),0)</f>
        <v>140</v>
      </c>
      <c r="AC24" s="100" t="str">
        <f aca="false">IFERROR(IF(Y24="","-",IF(Y24&lt;(V24/52)*AA24,"⚠ LOW STOCK",IF(AB24&gt;0,"Order Needed","✓ OK"))),"-")</f>
        <v>-</v>
      </c>
      <c r="AE24" s="100" t="str">
        <f aca="false">IFERROR(IF(OR(AD24="",Y24=""),"-",AD24*Y24),"-")</f>
        <v>-</v>
      </c>
    </row>
    <row r="25" customFormat="false" ht="19.5" hidden="false" customHeight="true" outlineLevel="0" collapsed="false">
      <c r="A25" s="19" t="s">
        <v>172</v>
      </c>
      <c r="O25" s="80" t="n">
        <v>0.05</v>
      </c>
      <c r="P25" s="80" t="n">
        <v>1.05</v>
      </c>
      <c r="Q25" s="80" t="n">
        <v>0.1</v>
      </c>
      <c r="R25" s="100" t="n">
        <f aca="false">IF(COUNTA(C25:N25)&gt;0,1,0)</f>
        <v>0</v>
      </c>
      <c r="S25" s="100" t="n">
        <f aca="false">IF(R25=1,SUM(C25:N25),0)</f>
        <v>0</v>
      </c>
      <c r="T25" s="100" t="n">
        <f aca="false">IFERROR(IF(R25=1,S25/12,0),0)</f>
        <v>0</v>
      </c>
      <c r="U25" s="79" t="n">
        <v>1000</v>
      </c>
      <c r="V25" s="100" t="n">
        <f aca="false">IFERROR(ROUND(IF(R25=1,S25*(1+O25)*P25*(1+Q25),U25*(1+O25)*P25*(1+Q25)),0),0)</f>
        <v>1213</v>
      </c>
      <c r="W25" s="100" t="n">
        <f aca="false">IFERROR(V25*B25,0)</f>
        <v>0</v>
      </c>
      <c r="X25" s="100" t="str">
        <f aca="false">IF(R25=1,"HIST","BASE")</f>
        <v>BASE</v>
      </c>
      <c r="Z25" s="99" t="n">
        <v>4</v>
      </c>
      <c r="AA25" s="99" t="n">
        <v>2</v>
      </c>
      <c r="AB25" s="100" t="n">
        <f aca="false">IFERROR(MAX(0,ROUND((V25/52)*(Z25+AA25)-Y25,0)),0)</f>
        <v>140</v>
      </c>
      <c r="AC25" s="100" t="str">
        <f aca="false">IFERROR(IF(Y25="","-",IF(Y25&lt;(V25/52)*AA25,"⚠ LOW STOCK",IF(AB25&gt;0,"Order Needed","✓ OK"))),"-")</f>
        <v>-</v>
      </c>
      <c r="AE25" s="100" t="str">
        <f aca="false">IFERROR(IF(OR(AD25="",Y25=""),"-",AD25*Y25),"-")</f>
        <v>-</v>
      </c>
    </row>
    <row r="26" customFormat="false" ht="19.5" hidden="false" customHeight="true" outlineLevel="0" collapsed="false">
      <c r="A26" s="19" t="s">
        <v>173</v>
      </c>
      <c r="O26" s="80" t="n">
        <v>0.05</v>
      </c>
      <c r="P26" s="80" t="n">
        <v>1.05</v>
      </c>
      <c r="Q26" s="80" t="n">
        <v>0.1</v>
      </c>
      <c r="R26" s="100" t="n">
        <f aca="false">IF(COUNTA(C26:N26)&gt;0,1,0)</f>
        <v>0</v>
      </c>
      <c r="S26" s="100" t="n">
        <f aca="false">IF(R26=1,SUM(C26:N26),0)</f>
        <v>0</v>
      </c>
      <c r="T26" s="100" t="n">
        <f aca="false">IFERROR(IF(R26=1,S26/12,0),0)</f>
        <v>0</v>
      </c>
      <c r="U26" s="79" t="n">
        <v>1000</v>
      </c>
      <c r="V26" s="100" t="n">
        <f aca="false">IFERROR(ROUND(IF(R26=1,S26*(1+O26)*P26*(1+Q26),U26*(1+O26)*P26*(1+Q26)),0),0)</f>
        <v>1213</v>
      </c>
      <c r="W26" s="100" t="n">
        <f aca="false">IFERROR(V26*B26,0)</f>
        <v>0</v>
      </c>
      <c r="X26" s="100" t="str">
        <f aca="false">IF(R26=1,"HIST","BASE")</f>
        <v>BASE</v>
      </c>
      <c r="Z26" s="99" t="n">
        <v>4</v>
      </c>
      <c r="AA26" s="99" t="n">
        <v>2</v>
      </c>
      <c r="AB26" s="100" t="n">
        <f aca="false">IFERROR(MAX(0,ROUND((V26/52)*(Z26+AA26)-Y26,0)),0)</f>
        <v>140</v>
      </c>
      <c r="AC26" s="100" t="str">
        <f aca="false">IFERROR(IF(Y26="","-",IF(Y26&lt;(V26/52)*AA26,"⚠ LOW STOCK",IF(AB26&gt;0,"Order Needed","✓ OK"))),"-")</f>
        <v>-</v>
      </c>
      <c r="AE26" s="100" t="str">
        <f aca="false">IFERROR(IF(OR(AD26="",Y26=""),"-",AD26*Y26),"-")</f>
        <v>-</v>
      </c>
    </row>
    <row r="27" customFormat="false" ht="19.5" hidden="false" customHeight="true" outlineLevel="0" collapsed="false">
      <c r="A27" s="19" t="s">
        <v>174</v>
      </c>
      <c r="O27" s="80" t="n">
        <v>0.05</v>
      </c>
      <c r="P27" s="80" t="n">
        <v>1.05</v>
      </c>
      <c r="Q27" s="80" t="n">
        <v>0.1</v>
      </c>
      <c r="R27" s="100" t="n">
        <f aca="false">IF(COUNTA(C27:N27)&gt;0,1,0)</f>
        <v>0</v>
      </c>
      <c r="S27" s="100" t="n">
        <f aca="false">IF(R27=1,SUM(C27:N27),0)</f>
        <v>0</v>
      </c>
      <c r="T27" s="100" t="n">
        <f aca="false">IFERROR(IF(R27=1,S27/12,0),0)</f>
        <v>0</v>
      </c>
      <c r="U27" s="79" t="n">
        <v>1000</v>
      </c>
      <c r="V27" s="100" t="n">
        <f aca="false">IFERROR(ROUND(IF(R27=1,S27*(1+O27)*P27*(1+Q27),U27*(1+O27)*P27*(1+Q27)),0),0)</f>
        <v>1213</v>
      </c>
      <c r="W27" s="100" t="n">
        <f aca="false">IFERROR(V27*B27,0)</f>
        <v>0</v>
      </c>
      <c r="X27" s="100" t="str">
        <f aca="false">IF(R27=1,"HIST","BASE")</f>
        <v>BASE</v>
      </c>
      <c r="Z27" s="99" t="n">
        <v>4</v>
      </c>
      <c r="AA27" s="99" t="n">
        <v>2</v>
      </c>
      <c r="AB27" s="100" t="n">
        <f aca="false">IFERROR(MAX(0,ROUND((V27/52)*(Z27+AA27)-Y27,0)),0)</f>
        <v>140</v>
      </c>
      <c r="AC27" s="100" t="str">
        <f aca="false">IFERROR(IF(Y27="","-",IF(Y27&lt;(V27/52)*AA27,"⚠ LOW STOCK",IF(AB27&gt;0,"Order Needed","✓ OK"))),"-")</f>
        <v>-</v>
      </c>
      <c r="AE27" s="100" t="str">
        <f aca="false">IFERROR(IF(OR(AD27="",Y27=""),"-",AD27*Y27),"-")</f>
        <v>-</v>
      </c>
    </row>
    <row r="28" customFormat="false" ht="19.5" hidden="false" customHeight="true" outlineLevel="0" collapsed="false">
      <c r="A28" s="19" t="s">
        <v>175</v>
      </c>
      <c r="O28" s="80" t="n">
        <v>0.05</v>
      </c>
      <c r="P28" s="80" t="n">
        <v>1.05</v>
      </c>
      <c r="Q28" s="80" t="n">
        <v>0.1</v>
      </c>
      <c r="R28" s="100" t="n">
        <f aca="false">IF(COUNTA(C28:N28)&gt;0,1,0)</f>
        <v>0</v>
      </c>
      <c r="S28" s="100" t="n">
        <f aca="false">IF(R28=1,SUM(C28:N28),0)</f>
        <v>0</v>
      </c>
      <c r="T28" s="100" t="n">
        <f aca="false">IFERROR(IF(R28=1,S28/12,0),0)</f>
        <v>0</v>
      </c>
      <c r="U28" s="79" t="n">
        <v>1000</v>
      </c>
      <c r="V28" s="100" t="n">
        <f aca="false">IFERROR(ROUND(IF(R28=1,S28*(1+O28)*P28*(1+Q28),U28*(1+O28)*P28*(1+Q28)),0),0)</f>
        <v>1213</v>
      </c>
      <c r="W28" s="100" t="n">
        <f aca="false">IFERROR(V28*B28,0)</f>
        <v>0</v>
      </c>
      <c r="X28" s="100" t="str">
        <f aca="false">IF(R28=1,"HIST","BASE")</f>
        <v>BASE</v>
      </c>
      <c r="Z28" s="99" t="n">
        <v>4</v>
      </c>
      <c r="AA28" s="99" t="n">
        <v>2</v>
      </c>
      <c r="AB28" s="100" t="n">
        <f aca="false">IFERROR(MAX(0,ROUND((V28/52)*(Z28+AA28)-Y28,0)),0)</f>
        <v>140</v>
      </c>
      <c r="AC28" s="100" t="str">
        <f aca="false">IFERROR(IF(Y28="","-",IF(Y28&lt;(V28/52)*AA28,"⚠ LOW STOCK",IF(AB28&gt;0,"Order Needed","✓ OK"))),"-")</f>
        <v>-</v>
      </c>
      <c r="AE28" s="100" t="str">
        <f aca="false">IFERROR(IF(OR(AD28="",Y28=""),"-",AD28*Y28),"-")</f>
        <v>-</v>
      </c>
    </row>
    <row r="29" customFormat="false" ht="19.5" hidden="false" customHeight="true" outlineLevel="0" collapsed="false">
      <c r="A29" s="19" t="s">
        <v>176</v>
      </c>
      <c r="O29" s="80" t="n">
        <v>0.05</v>
      </c>
      <c r="P29" s="80" t="n">
        <v>1.05</v>
      </c>
      <c r="Q29" s="80" t="n">
        <v>0.1</v>
      </c>
      <c r="R29" s="100" t="n">
        <f aca="false">IF(COUNTA(C29:N29)&gt;0,1,0)</f>
        <v>0</v>
      </c>
      <c r="S29" s="100" t="n">
        <f aca="false">IF(R29=1,SUM(C29:N29),0)</f>
        <v>0</v>
      </c>
      <c r="T29" s="100" t="n">
        <f aca="false">IFERROR(IF(R29=1,S29/12,0),0)</f>
        <v>0</v>
      </c>
      <c r="U29" s="79" t="n">
        <v>1000</v>
      </c>
      <c r="V29" s="100" t="n">
        <f aca="false">IFERROR(ROUND(IF(R29=1,S29*(1+O29)*P29*(1+Q29),U29*(1+O29)*P29*(1+Q29)),0),0)</f>
        <v>1213</v>
      </c>
      <c r="W29" s="100" t="n">
        <f aca="false">IFERROR(V29*B29,0)</f>
        <v>0</v>
      </c>
      <c r="X29" s="100" t="str">
        <f aca="false">IF(R29=1,"HIST","BASE")</f>
        <v>BASE</v>
      </c>
      <c r="Z29" s="99" t="n">
        <v>4</v>
      </c>
      <c r="AA29" s="99" t="n">
        <v>2</v>
      </c>
      <c r="AB29" s="100" t="n">
        <f aca="false">IFERROR(MAX(0,ROUND((V29/52)*(Z29+AA29)-Y29,0)),0)</f>
        <v>140</v>
      </c>
      <c r="AC29" s="100" t="str">
        <f aca="false">IFERROR(IF(Y29="","-",IF(Y29&lt;(V29/52)*AA29,"⚠ LOW STOCK",IF(AB29&gt;0,"Order Needed","✓ OK"))),"-")</f>
        <v>-</v>
      </c>
      <c r="AE29" s="100" t="str">
        <f aca="false">IFERROR(IF(OR(AD29="",Y29=""),"-",AD29*Y29),"-")</f>
        <v>-</v>
      </c>
    </row>
    <row r="30" customFormat="false" ht="19.5" hidden="false" customHeight="true" outlineLevel="0" collapsed="false">
      <c r="A30" s="19" t="s">
        <v>177</v>
      </c>
      <c r="O30" s="80" t="n">
        <v>0.05</v>
      </c>
      <c r="P30" s="80" t="n">
        <v>1.05</v>
      </c>
      <c r="Q30" s="80" t="n">
        <v>0.1</v>
      </c>
      <c r="R30" s="100" t="n">
        <f aca="false">IF(COUNTA(C30:N30)&gt;0,1,0)</f>
        <v>0</v>
      </c>
      <c r="S30" s="100" t="n">
        <f aca="false">IF(R30=1,SUM(C30:N30),0)</f>
        <v>0</v>
      </c>
      <c r="T30" s="100" t="n">
        <f aca="false">IFERROR(IF(R30=1,S30/12,0),0)</f>
        <v>0</v>
      </c>
      <c r="U30" s="79" t="n">
        <v>1000</v>
      </c>
      <c r="V30" s="100" t="n">
        <f aca="false">IFERROR(ROUND(IF(R30=1,S30*(1+O30)*P30*(1+Q30),U30*(1+O30)*P30*(1+Q30)),0),0)</f>
        <v>1213</v>
      </c>
      <c r="W30" s="100" t="n">
        <f aca="false">IFERROR(V30*B30,0)</f>
        <v>0</v>
      </c>
      <c r="X30" s="100" t="str">
        <f aca="false">IF(R30=1,"HIST","BASE")</f>
        <v>BASE</v>
      </c>
      <c r="Z30" s="99" t="n">
        <v>4</v>
      </c>
      <c r="AA30" s="99" t="n">
        <v>2</v>
      </c>
      <c r="AB30" s="100" t="n">
        <f aca="false">IFERROR(MAX(0,ROUND((V30/52)*(Z30+AA30)-Y30,0)),0)</f>
        <v>140</v>
      </c>
      <c r="AC30" s="100" t="str">
        <f aca="false">IFERROR(IF(Y30="","-",IF(Y30&lt;(V30/52)*AA30,"⚠ LOW STOCK",IF(AB30&gt;0,"Order Needed","✓ OK"))),"-")</f>
        <v>-</v>
      </c>
      <c r="AE30" s="100" t="str">
        <f aca="false">IFERROR(IF(OR(AD30="",Y30=""),"-",AD30*Y30),"-")</f>
        <v>-</v>
      </c>
    </row>
    <row r="31" customFormat="false" ht="19.5" hidden="false" customHeight="true" outlineLevel="0" collapsed="false">
      <c r="A31" s="19" t="s">
        <v>178</v>
      </c>
      <c r="O31" s="80" t="n">
        <v>0.05</v>
      </c>
      <c r="P31" s="80" t="n">
        <v>1.05</v>
      </c>
      <c r="Q31" s="80" t="n">
        <v>0.1</v>
      </c>
      <c r="R31" s="100" t="n">
        <f aca="false">IF(COUNTA(C31:N31)&gt;0,1,0)</f>
        <v>0</v>
      </c>
      <c r="S31" s="100" t="n">
        <f aca="false">IF(R31=1,SUM(C31:N31),0)</f>
        <v>0</v>
      </c>
      <c r="T31" s="100" t="n">
        <f aca="false">IFERROR(IF(R31=1,S31/12,0),0)</f>
        <v>0</v>
      </c>
      <c r="U31" s="79" t="n">
        <v>1000</v>
      </c>
      <c r="V31" s="100" t="n">
        <f aca="false">IFERROR(ROUND(IF(R31=1,S31*(1+O31)*P31*(1+Q31),U31*(1+O31)*P31*(1+Q31)),0),0)</f>
        <v>1213</v>
      </c>
      <c r="W31" s="100" t="n">
        <f aca="false">IFERROR(V31*B31,0)</f>
        <v>0</v>
      </c>
      <c r="X31" s="100" t="str">
        <f aca="false">IF(R31=1,"HIST","BASE")</f>
        <v>BASE</v>
      </c>
      <c r="Z31" s="99" t="n">
        <v>4</v>
      </c>
      <c r="AA31" s="99" t="n">
        <v>2</v>
      </c>
      <c r="AB31" s="100" t="n">
        <f aca="false">IFERROR(MAX(0,ROUND((V31/52)*(Z31+AA31)-Y31,0)),0)</f>
        <v>140</v>
      </c>
      <c r="AC31" s="100" t="str">
        <f aca="false">IFERROR(IF(Y31="","-",IF(Y31&lt;(V31/52)*AA31,"⚠ LOW STOCK",IF(AB31&gt;0,"Order Needed","✓ OK"))),"-")</f>
        <v>-</v>
      </c>
      <c r="AE31" s="100" t="str">
        <f aca="false">IFERROR(IF(OR(AD31="",Y31=""),"-",AD31*Y31),"-")</f>
        <v>-</v>
      </c>
    </row>
    <row r="32" customFormat="false" ht="19.5" hidden="false" customHeight="true" outlineLevel="0" collapsed="false">
      <c r="A32" s="19" t="s">
        <v>179</v>
      </c>
      <c r="O32" s="80" t="n">
        <v>0.05</v>
      </c>
      <c r="P32" s="80" t="n">
        <v>1.05</v>
      </c>
      <c r="Q32" s="80" t="n">
        <v>0.1</v>
      </c>
      <c r="R32" s="100" t="n">
        <f aca="false">IF(COUNTA(C32:N32)&gt;0,1,0)</f>
        <v>0</v>
      </c>
      <c r="S32" s="100" t="n">
        <f aca="false">IF(R32=1,SUM(C32:N32),0)</f>
        <v>0</v>
      </c>
      <c r="T32" s="100" t="n">
        <f aca="false">IFERROR(IF(R32=1,S32/12,0),0)</f>
        <v>0</v>
      </c>
      <c r="U32" s="79" t="n">
        <v>1000</v>
      </c>
      <c r="V32" s="100" t="n">
        <f aca="false">IFERROR(ROUND(IF(R32=1,S32*(1+O32)*P32*(1+Q32),U32*(1+O32)*P32*(1+Q32)),0),0)</f>
        <v>1213</v>
      </c>
      <c r="W32" s="100" t="n">
        <f aca="false">IFERROR(V32*B32,0)</f>
        <v>0</v>
      </c>
      <c r="X32" s="100" t="str">
        <f aca="false">IF(R32=1,"HIST","BASE")</f>
        <v>BASE</v>
      </c>
      <c r="Z32" s="99" t="n">
        <v>4</v>
      </c>
      <c r="AA32" s="99" t="n">
        <v>2</v>
      </c>
      <c r="AB32" s="100" t="n">
        <f aca="false">IFERROR(MAX(0,ROUND((V32/52)*(Z32+AA32)-Y32,0)),0)</f>
        <v>140</v>
      </c>
      <c r="AC32" s="100" t="str">
        <f aca="false">IFERROR(IF(Y32="","-",IF(Y32&lt;(V32/52)*AA32,"⚠ LOW STOCK",IF(AB32&gt;0,"Order Needed","✓ OK"))),"-")</f>
        <v>-</v>
      </c>
      <c r="AE32" s="100" t="str">
        <f aca="false">IFERROR(IF(OR(AD32="",Y32=""),"-",AD32*Y32),"-")</f>
        <v>-</v>
      </c>
    </row>
    <row r="33" customFormat="false" ht="19.5" hidden="false" customHeight="true" outlineLevel="0" collapsed="false">
      <c r="A33" s="19" t="s">
        <v>180</v>
      </c>
      <c r="O33" s="80" t="n">
        <v>0.05</v>
      </c>
      <c r="P33" s="80" t="n">
        <v>1.05</v>
      </c>
      <c r="Q33" s="80" t="n">
        <v>0.1</v>
      </c>
      <c r="R33" s="100" t="n">
        <f aca="false">IF(COUNTA(C33:N33)&gt;0,1,0)</f>
        <v>0</v>
      </c>
      <c r="S33" s="100" t="n">
        <f aca="false">IF(R33=1,SUM(C33:N33),0)</f>
        <v>0</v>
      </c>
      <c r="T33" s="100" t="n">
        <f aca="false">IFERROR(IF(R33=1,S33/12,0),0)</f>
        <v>0</v>
      </c>
      <c r="U33" s="79" t="n">
        <v>1000</v>
      </c>
      <c r="V33" s="100" t="n">
        <f aca="false">IFERROR(ROUND(IF(R33=1,S33*(1+O33)*P33*(1+Q33),U33*(1+O33)*P33*(1+Q33)),0),0)</f>
        <v>1213</v>
      </c>
      <c r="W33" s="100" t="n">
        <f aca="false">IFERROR(V33*B33,0)</f>
        <v>0</v>
      </c>
      <c r="X33" s="100" t="str">
        <f aca="false">IF(R33=1,"HIST","BASE")</f>
        <v>BASE</v>
      </c>
      <c r="Z33" s="99" t="n">
        <v>4</v>
      </c>
      <c r="AA33" s="99" t="n">
        <v>2</v>
      </c>
      <c r="AB33" s="100" t="n">
        <f aca="false">IFERROR(MAX(0,ROUND((V33/52)*(Z33+AA33)-Y33,0)),0)</f>
        <v>140</v>
      </c>
      <c r="AC33" s="100" t="str">
        <f aca="false">IFERROR(IF(Y33="","-",IF(Y33&lt;(V33/52)*AA33,"⚠ LOW STOCK",IF(AB33&gt;0,"Order Needed","✓ OK"))),"-")</f>
        <v>-</v>
      </c>
      <c r="AE33" s="100" t="str">
        <f aca="false">IFERROR(IF(OR(AD33="",Y33=""),"-",AD33*Y33),"-")</f>
        <v>-</v>
      </c>
    </row>
    <row r="34" customFormat="false" ht="19.5" hidden="false" customHeight="true" outlineLevel="0" collapsed="false">
      <c r="A34" s="19" t="s">
        <v>181</v>
      </c>
      <c r="O34" s="80" t="n">
        <v>0.05</v>
      </c>
      <c r="P34" s="80" t="n">
        <v>1.05</v>
      </c>
      <c r="Q34" s="80" t="n">
        <v>0.1</v>
      </c>
      <c r="R34" s="100" t="n">
        <f aca="false">IF(COUNTA(C34:N34)&gt;0,1,0)</f>
        <v>0</v>
      </c>
      <c r="S34" s="100" t="n">
        <f aca="false">IF(R34=1,SUM(C34:N34),0)</f>
        <v>0</v>
      </c>
      <c r="T34" s="100" t="n">
        <f aca="false">IFERROR(IF(R34=1,S34/12,0),0)</f>
        <v>0</v>
      </c>
      <c r="U34" s="79" t="n">
        <v>1000</v>
      </c>
      <c r="V34" s="100" t="n">
        <f aca="false">IFERROR(ROUND(IF(R34=1,S34*(1+O34)*P34*(1+Q34),U34*(1+O34)*P34*(1+Q34)),0),0)</f>
        <v>1213</v>
      </c>
      <c r="W34" s="100" t="n">
        <f aca="false">IFERROR(V34*B34,0)</f>
        <v>0</v>
      </c>
      <c r="X34" s="100" t="str">
        <f aca="false">IF(R34=1,"HIST","BASE")</f>
        <v>BASE</v>
      </c>
      <c r="Z34" s="99" t="n">
        <v>4</v>
      </c>
      <c r="AA34" s="99" t="n">
        <v>2</v>
      </c>
      <c r="AB34" s="100" t="n">
        <f aca="false">IFERROR(MAX(0,ROUND((V34/52)*(Z34+AA34)-Y34,0)),0)</f>
        <v>140</v>
      </c>
      <c r="AC34" s="100" t="str">
        <f aca="false">IFERROR(IF(Y34="","-",IF(Y34&lt;(V34/52)*AA34,"⚠ LOW STOCK",IF(AB34&gt;0,"Order Needed","✓ OK"))),"-")</f>
        <v>-</v>
      </c>
      <c r="AE34" s="100" t="str">
        <f aca="false">IFERROR(IF(OR(AD34="",Y34=""),"-",AD34*Y34),"-")</f>
        <v>-</v>
      </c>
    </row>
    <row r="35" customFormat="false" ht="19.5" hidden="false" customHeight="true" outlineLevel="0" collapsed="false">
      <c r="A35" s="19" t="s">
        <v>182</v>
      </c>
      <c r="O35" s="80" t="n">
        <v>0.05</v>
      </c>
      <c r="P35" s="80" t="n">
        <v>1.05</v>
      </c>
      <c r="Q35" s="80" t="n">
        <v>0.1</v>
      </c>
      <c r="R35" s="100" t="n">
        <f aca="false">IF(COUNTA(C35:N35)&gt;0,1,0)</f>
        <v>0</v>
      </c>
      <c r="S35" s="100" t="n">
        <f aca="false">IF(R35=1,SUM(C35:N35),0)</f>
        <v>0</v>
      </c>
      <c r="T35" s="100" t="n">
        <f aca="false">IFERROR(IF(R35=1,S35/12,0),0)</f>
        <v>0</v>
      </c>
      <c r="U35" s="79" t="n">
        <v>1000</v>
      </c>
      <c r="V35" s="100" t="n">
        <f aca="false">IFERROR(ROUND(IF(R35=1,S35*(1+O35)*P35*(1+Q35),U35*(1+O35)*P35*(1+Q35)),0),0)</f>
        <v>1213</v>
      </c>
      <c r="W35" s="100" t="n">
        <f aca="false">IFERROR(V35*B35,0)</f>
        <v>0</v>
      </c>
      <c r="X35" s="100" t="str">
        <f aca="false">IF(R35=1,"HIST","BASE")</f>
        <v>BASE</v>
      </c>
      <c r="Z35" s="99" t="n">
        <v>4</v>
      </c>
      <c r="AA35" s="99" t="n">
        <v>2</v>
      </c>
      <c r="AB35" s="100" t="n">
        <f aca="false">IFERROR(MAX(0,ROUND((V35/52)*(Z35+AA35)-Y35,0)),0)</f>
        <v>140</v>
      </c>
      <c r="AC35" s="100" t="str">
        <f aca="false">IFERROR(IF(Y35="","-",IF(Y35&lt;(V35/52)*AA35,"⚠ LOW STOCK",IF(AB35&gt;0,"Order Needed","✓ OK"))),"-")</f>
        <v>-</v>
      </c>
      <c r="AE35" s="100" t="str">
        <f aca="false">IFERROR(IF(OR(AD35="",Y35=""),"-",AD35*Y35),"-")</f>
        <v>-</v>
      </c>
    </row>
    <row r="36" customFormat="false" ht="19.5" hidden="false" customHeight="true" outlineLevel="0" collapsed="false">
      <c r="A36" s="19" t="s">
        <v>183</v>
      </c>
      <c r="O36" s="80" t="n">
        <v>0.05</v>
      </c>
      <c r="P36" s="80" t="n">
        <v>1.05</v>
      </c>
      <c r="Q36" s="80" t="n">
        <v>0.1</v>
      </c>
      <c r="R36" s="100" t="n">
        <f aca="false">IF(COUNTA(C36:N36)&gt;0,1,0)</f>
        <v>0</v>
      </c>
      <c r="S36" s="100" t="n">
        <f aca="false">IF(R36=1,SUM(C36:N36),0)</f>
        <v>0</v>
      </c>
      <c r="T36" s="100" t="n">
        <f aca="false">IFERROR(IF(R36=1,S36/12,0),0)</f>
        <v>0</v>
      </c>
      <c r="U36" s="79" t="n">
        <v>1000</v>
      </c>
      <c r="V36" s="100" t="n">
        <f aca="false">IFERROR(ROUND(IF(R36=1,S36*(1+O36)*P36*(1+Q36),U36*(1+O36)*P36*(1+Q36)),0),0)</f>
        <v>1213</v>
      </c>
      <c r="W36" s="100" t="n">
        <f aca="false">IFERROR(V36*B36,0)</f>
        <v>0</v>
      </c>
      <c r="X36" s="100" t="str">
        <f aca="false">IF(R36=1,"HIST","BASE")</f>
        <v>BASE</v>
      </c>
      <c r="Z36" s="99" t="n">
        <v>4</v>
      </c>
      <c r="AA36" s="99" t="n">
        <v>2</v>
      </c>
      <c r="AB36" s="100" t="n">
        <f aca="false">IFERROR(MAX(0,ROUND((V36/52)*(Z36+AA36)-Y36,0)),0)</f>
        <v>140</v>
      </c>
      <c r="AC36" s="100" t="str">
        <f aca="false">IFERROR(IF(Y36="","-",IF(Y36&lt;(V36/52)*AA36,"⚠ LOW STOCK",IF(AB36&gt;0,"Order Needed","✓ OK"))),"-")</f>
        <v>-</v>
      </c>
      <c r="AE36" s="100" t="str">
        <f aca="false">IFERROR(IF(OR(AD36="",Y36=""),"-",AD36*Y36),"-")</f>
        <v>-</v>
      </c>
    </row>
    <row r="37" customFormat="false" ht="19.5" hidden="false" customHeight="true" outlineLevel="0" collapsed="false">
      <c r="A37" s="19" t="s">
        <v>184</v>
      </c>
      <c r="O37" s="80" t="n">
        <v>0.05</v>
      </c>
      <c r="P37" s="80" t="n">
        <v>1.05</v>
      </c>
      <c r="Q37" s="80" t="n">
        <v>0.1</v>
      </c>
      <c r="R37" s="100" t="n">
        <f aca="false">IF(COUNTA(C37:N37)&gt;0,1,0)</f>
        <v>0</v>
      </c>
      <c r="S37" s="100" t="n">
        <f aca="false">IF(R37=1,SUM(C37:N37),0)</f>
        <v>0</v>
      </c>
      <c r="T37" s="100" t="n">
        <f aca="false">IFERROR(IF(R37=1,S37/12,0),0)</f>
        <v>0</v>
      </c>
      <c r="U37" s="79" t="n">
        <v>1000</v>
      </c>
      <c r="V37" s="100" t="n">
        <f aca="false">IFERROR(ROUND(IF(R37=1,S37*(1+O37)*P37*(1+Q37),U37*(1+O37)*P37*(1+Q37)),0),0)</f>
        <v>1213</v>
      </c>
      <c r="W37" s="100" t="n">
        <f aca="false">IFERROR(V37*B37,0)</f>
        <v>0</v>
      </c>
      <c r="X37" s="100" t="str">
        <f aca="false">IF(R37=1,"HIST","BASE")</f>
        <v>BASE</v>
      </c>
      <c r="Z37" s="99" t="n">
        <v>4</v>
      </c>
      <c r="AA37" s="99" t="n">
        <v>2</v>
      </c>
      <c r="AB37" s="100" t="n">
        <f aca="false">IFERROR(MAX(0,ROUND((V37/52)*(Z37+AA37)-Y37,0)),0)</f>
        <v>140</v>
      </c>
      <c r="AC37" s="100" t="str">
        <f aca="false">IFERROR(IF(Y37="","-",IF(Y37&lt;(V37/52)*AA37,"⚠ LOW STOCK",IF(AB37&gt;0,"Order Needed","✓ OK"))),"-")</f>
        <v>-</v>
      </c>
      <c r="AE37" s="100" t="str">
        <f aca="false">IFERROR(IF(OR(AD37="",Y37=""),"-",AD37*Y37),"-")</f>
        <v>-</v>
      </c>
    </row>
    <row r="38" customFormat="false" ht="19.5" hidden="false" customHeight="true" outlineLevel="0" collapsed="false">
      <c r="A38" s="19" t="s">
        <v>185</v>
      </c>
      <c r="O38" s="80" t="n">
        <v>0.05</v>
      </c>
      <c r="P38" s="80" t="n">
        <v>1.05</v>
      </c>
      <c r="Q38" s="80" t="n">
        <v>0.1</v>
      </c>
      <c r="R38" s="100" t="n">
        <f aca="false">IF(COUNTA(C38:N38)&gt;0,1,0)</f>
        <v>0</v>
      </c>
      <c r="S38" s="100" t="n">
        <f aca="false">IF(R38=1,SUM(C38:N38),0)</f>
        <v>0</v>
      </c>
      <c r="T38" s="100" t="n">
        <f aca="false">IFERROR(IF(R38=1,S38/12,0),0)</f>
        <v>0</v>
      </c>
      <c r="U38" s="79" t="n">
        <v>1000</v>
      </c>
      <c r="V38" s="100" t="n">
        <f aca="false">IFERROR(ROUND(IF(R38=1,S38*(1+O38)*P38*(1+Q38),U38*(1+O38)*P38*(1+Q38)),0),0)</f>
        <v>1213</v>
      </c>
      <c r="W38" s="100" t="n">
        <f aca="false">IFERROR(V38*B38,0)</f>
        <v>0</v>
      </c>
      <c r="X38" s="100" t="str">
        <f aca="false">IF(R38=1,"HIST","BASE")</f>
        <v>BASE</v>
      </c>
      <c r="Z38" s="99" t="n">
        <v>4</v>
      </c>
      <c r="AA38" s="99" t="n">
        <v>2</v>
      </c>
      <c r="AB38" s="100" t="n">
        <f aca="false">IFERROR(MAX(0,ROUND((V38/52)*(Z38+AA38)-Y38,0)),0)</f>
        <v>140</v>
      </c>
      <c r="AC38" s="100" t="str">
        <f aca="false">IFERROR(IF(Y38="","-",IF(Y38&lt;(V38/52)*AA38,"⚠ LOW STOCK",IF(AB38&gt;0,"Order Needed","✓ OK"))),"-")</f>
        <v>-</v>
      </c>
      <c r="AE38" s="100" t="str">
        <f aca="false">IFERROR(IF(OR(AD38="",Y38=""),"-",AD38*Y38),"-")</f>
        <v>-</v>
      </c>
    </row>
    <row r="39" customFormat="false" ht="19.5" hidden="false" customHeight="true" outlineLevel="0" collapsed="false">
      <c r="A39" s="19" t="s">
        <v>186</v>
      </c>
      <c r="O39" s="80" t="n">
        <v>0.05</v>
      </c>
      <c r="P39" s="80" t="n">
        <v>1.05</v>
      </c>
      <c r="Q39" s="80" t="n">
        <v>0.1</v>
      </c>
      <c r="R39" s="100" t="n">
        <f aca="false">IF(COUNTA(C39:N39)&gt;0,1,0)</f>
        <v>0</v>
      </c>
      <c r="S39" s="100" t="n">
        <f aca="false">IF(R39=1,SUM(C39:N39),0)</f>
        <v>0</v>
      </c>
      <c r="T39" s="100" t="n">
        <f aca="false">IFERROR(IF(R39=1,S39/12,0),0)</f>
        <v>0</v>
      </c>
      <c r="U39" s="79" t="n">
        <v>1000</v>
      </c>
      <c r="V39" s="100" t="n">
        <f aca="false">IFERROR(ROUND(IF(R39=1,S39*(1+O39)*P39*(1+Q39),U39*(1+O39)*P39*(1+Q39)),0),0)</f>
        <v>1213</v>
      </c>
      <c r="W39" s="100" t="n">
        <f aca="false">IFERROR(V39*B39,0)</f>
        <v>0</v>
      </c>
      <c r="X39" s="100" t="str">
        <f aca="false">IF(R39=1,"HIST","BASE")</f>
        <v>BASE</v>
      </c>
      <c r="Z39" s="99" t="n">
        <v>4</v>
      </c>
      <c r="AA39" s="99" t="n">
        <v>2</v>
      </c>
      <c r="AB39" s="100" t="n">
        <f aca="false">IFERROR(MAX(0,ROUND((V39/52)*(Z39+AA39)-Y39,0)),0)</f>
        <v>140</v>
      </c>
      <c r="AC39" s="100" t="str">
        <f aca="false">IFERROR(IF(Y39="","-",IF(Y39&lt;(V39/52)*AA39,"⚠ LOW STOCK",IF(AB39&gt;0,"Order Needed","✓ OK"))),"-")</f>
        <v>-</v>
      </c>
      <c r="AE39" s="100" t="str">
        <f aca="false">IFERROR(IF(OR(AD39="",Y39=""),"-",AD39*Y39),"-")</f>
        <v>-</v>
      </c>
    </row>
    <row r="40" customFormat="false" ht="19.5" hidden="false" customHeight="true" outlineLevel="0" collapsed="false">
      <c r="A40" s="19" t="s">
        <v>187</v>
      </c>
      <c r="O40" s="80" t="n">
        <v>0.05</v>
      </c>
      <c r="P40" s="80" t="n">
        <v>1.05</v>
      </c>
      <c r="Q40" s="80" t="n">
        <v>0.1</v>
      </c>
      <c r="R40" s="100" t="n">
        <f aca="false">IF(COUNTA(C40:N40)&gt;0,1,0)</f>
        <v>0</v>
      </c>
      <c r="S40" s="100" t="n">
        <f aca="false">IF(R40=1,SUM(C40:N40),0)</f>
        <v>0</v>
      </c>
      <c r="T40" s="100" t="n">
        <f aca="false">IFERROR(IF(R40=1,S40/12,0),0)</f>
        <v>0</v>
      </c>
      <c r="U40" s="79" t="n">
        <v>1000</v>
      </c>
      <c r="V40" s="100" t="n">
        <f aca="false">IFERROR(ROUND(IF(R40=1,S40*(1+O40)*P40*(1+Q40),U40*(1+O40)*P40*(1+Q40)),0),0)</f>
        <v>1213</v>
      </c>
      <c r="W40" s="100" t="n">
        <f aca="false">IFERROR(V40*B40,0)</f>
        <v>0</v>
      </c>
      <c r="X40" s="100" t="str">
        <f aca="false">IF(R40=1,"HIST","BASE")</f>
        <v>BASE</v>
      </c>
      <c r="Z40" s="99" t="n">
        <v>4</v>
      </c>
      <c r="AA40" s="99" t="n">
        <v>2</v>
      </c>
      <c r="AB40" s="100" t="n">
        <f aca="false">IFERROR(MAX(0,ROUND((V40/52)*(Z40+AA40)-Y40,0)),0)</f>
        <v>140</v>
      </c>
      <c r="AC40" s="100" t="str">
        <f aca="false">IFERROR(IF(Y40="","-",IF(Y40&lt;(V40/52)*AA40,"⚠ LOW STOCK",IF(AB40&gt;0,"Order Needed","✓ OK"))),"-")</f>
        <v>-</v>
      </c>
      <c r="AE40" s="100" t="str">
        <f aca="false">IFERROR(IF(OR(AD40="",Y40=""),"-",AD40*Y40),"-")</f>
        <v>-</v>
      </c>
    </row>
    <row r="41" customFormat="false" ht="19.5" hidden="false" customHeight="true" outlineLevel="0" collapsed="false">
      <c r="A41" s="19" t="s">
        <v>188</v>
      </c>
      <c r="O41" s="80" t="n">
        <v>0.05</v>
      </c>
      <c r="P41" s="80" t="n">
        <v>1.05</v>
      </c>
      <c r="Q41" s="80" t="n">
        <v>0.1</v>
      </c>
      <c r="R41" s="100" t="n">
        <f aca="false">IF(COUNTA(C41:N41)&gt;0,1,0)</f>
        <v>0</v>
      </c>
      <c r="S41" s="100" t="n">
        <f aca="false">IF(R41=1,SUM(C41:N41),0)</f>
        <v>0</v>
      </c>
      <c r="T41" s="100" t="n">
        <f aca="false">IFERROR(IF(R41=1,S41/12,0),0)</f>
        <v>0</v>
      </c>
      <c r="U41" s="79" t="n">
        <v>1000</v>
      </c>
      <c r="V41" s="100" t="n">
        <f aca="false">IFERROR(ROUND(IF(R41=1,S41*(1+O41)*P41*(1+Q41),U41*(1+O41)*P41*(1+Q41)),0),0)</f>
        <v>1213</v>
      </c>
      <c r="W41" s="100" t="n">
        <f aca="false">IFERROR(V41*B41,0)</f>
        <v>0</v>
      </c>
      <c r="X41" s="100" t="str">
        <f aca="false">IF(R41=1,"HIST","BASE")</f>
        <v>BASE</v>
      </c>
      <c r="Z41" s="99" t="n">
        <v>4</v>
      </c>
      <c r="AA41" s="99" t="n">
        <v>2</v>
      </c>
      <c r="AB41" s="100" t="n">
        <f aca="false">IFERROR(MAX(0,ROUND((V41/52)*(Z41+AA41)-Y41,0)),0)</f>
        <v>140</v>
      </c>
      <c r="AC41" s="100" t="str">
        <f aca="false">IFERROR(IF(Y41="","-",IF(Y41&lt;(V41/52)*AA41,"⚠ LOW STOCK",IF(AB41&gt;0,"Order Needed","✓ OK"))),"-")</f>
        <v>-</v>
      </c>
      <c r="AE41" s="100" t="str">
        <f aca="false">IFERROR(IF(OR(AD41="",Y41=""),"-",AD41*Y41),"-")</f>
        <v>-</v>
      </c>
    </row>
    <row r="42" customFormat="false" ht="19.5" hidden="false" customHeight="true" outlineLevel="0" collapsed="false">
      <c r="A42" s="19" t="s">
        <v>189</v>
      </c>
      <c r="O42" s="80" t="n">
        <v>0.05</v>
      </c>
      <c r="P42" s="80" t="n">
        <v>1.05</v>
      </c>
      <c r="Q42" s="80" t="n">
        <v>0.1</v>
      </c>
      <c r="R42" s="100" t="n">
        <f aca="false">IF(COUNTA(C42:N42)&gt;0,1,0)</f>
        <v>0</v>
      </c>
      <c r="S42" s="100" t="n">
        <f aca="false">IF(R42=1,SUM(C42:N42),0)</f>
        <v>0</v>
      </c>
      <c r="T42" s="100" t="n">
        <f aca="false">IFERROR(IF(R42=1,S42/12,0),0)</f>
        <v>0</v>
      </c>
      <c r="U42" s="79" t="n">
        <v>1000</v>
      </c>
      <c r="V42" s="100" t="n">
        <f aca="false">IFERROR(ROUND(IF(R42=1,S42*(1+O42)*P42*(1+Q42),U42*(1+O42)*P42*(1+Q42)),0),0)</f>
        <v>1213</v>
      </c>
      <c r="W42" s="100" t="n">
        <f aca="false">IFERROR(V42*B42,0)</f>
        <v>0</v>
      </c>
      <c r="X42" s="100" t="str">
        <f aca="false">IF(R42=1,"HIST","BASE")</f>
        <v>BASE</v>
      </c>
      <c r="Z42" s="99" t="n">
        <v>4</v>
      </c>
      <c r="AA42" s="99" t="n">
        <v>2</v>
      </c>
      <c r="AB42" s="100" t="n">
        <f aca="false">IFERROR(MAX(0,ROUND((V42/52)*(Z42+AA42)-Y42,0)),0)</f>
        <v>140</v>
      </c>
      <c r="AC42" s="100" t="str">
        <f aca="false">IFERROR(IF(Y42="","-",IF(Y42&lt;(V42/52)*AA42,"⚠ LOW STOCK",IF(AB42&gt;0,"Order Needed","✓ OK"))),"-")</f>
        <v>-</v>
      </c>
      <c r="AE42" s="100" t="str">
        <f aca="false">IFERROR(IF(OR(AD42="",Y42=""),"-",AD42*Y42),"-")</f>
        <v>-</v>
      </c>
    </row>
    <row r="43" customFormat="false" ht="19.5" hidden="false" customHeight="true" outlineLevel="0" collapsed="false">
      <c r="A43" s="19" t="s">
        <v>190</v>
      </c>
      <c r="O43" s="80" t="n">
        <v>0.05</v>
      </c>
      <c r="P43" s="80" t="n">
        <v>1.05</v>
      </c>
      <c r="Q43" s="80" t="n">
        <v>0.1</v>
      </c>
      <c r="R43" s="100" t="n">
        <f aca="false">IF(COUNTA(C43:N43)&gt;0,1,0)</f>
        <v>0</v>
      </c>
      <c r="S43" s="100" t="n">
        <f aca="false">IF(R43=1,SUM(C43:N43),0)</f>
        <v>0</v>
      </c>
      <c r="T43" s="100" t="n">
        <f aca="false">IFERROR(IF(R43=1,S43/12,0),0)</f>
        <v>0</v>
      </c>
      <c r="U43" s="79" t="n">
        <v>1000</v>
      </c>
      <c r="V43" s="100" t="n">
        <f aca="false">IFERROR(ROUND(IF(R43=1,S43*(1+O43)*P43*(1+Q43),U43*(1+O43)*P43*(1+Q43)),0),0)</f>
        <v>1213</v>
      </c>
      <c r="W43" s="100" t="n">
        <f aca="false">IFERROR(V43*B43,0)</f>
        <v>0</v>
      </c>
      <c r="X43" s="100" t="str">
        <f aca="false">IF(R43=1,"HIST","BASE")</f>
        <v>BASE</v>
      </c>
      <c r="Z43" s="99" t="n">
        <v>4</v>
      </c>
      <c r="AA43" s="99" t="n">
        <v>2</v>
      </c>
      <c r="AB43" s="100" t="n">
        <f aca="false">IFERROR(MAX(0,ROUND((V43/52)*(Z43+AA43)-Y43,0)),0)</f>
        <v>140</v>
      </c>
      <c r="AC43" s="100" t="str">
        <f aca="false">IFERROR(IF(Y43="","-",IF(Y43&lt;(V43/52)*AA43,"⚠ LOW STOCK",IF(AB43&gt;0,"Order Needed","✓ OK"))),"-")</f>
        <v>-</v>
      </c>
      <c r="AE43" s="100" t="str">
        <f aca="false">IFERROR(IF(OR(AD43="",Y43=""),"-",AD43*Y43),"-")</f>
        <v>-</v>
      </c>
    </row>
    <row r="44" customFormat="false" ht="19.5" hidden="false" customHeight="true" outlineLevel="0" collapsed="false">
      <c r="A44" s="19" t="s">
        <v>191</v>
      </c>
      <c r="O44" s="80" t="n">
        <v>0.05</v>
      </c>
      <c r="P44" s="80" t="n">
        <v>1.05</v>
      </c>
      <c r="Q44" s="80" t="n">
        <v>0.1</v>
      </c>
      <c r="R44" s="100" t="n">
        <f aca="false">IF(COUNTA(C44:N44)&gt;0,1,0)</f>
        <v>0</v>
      </c>
      <c r="S44" s="100" t="n">
        <f aca="false">IF(R44=1,SUM(C44:N44),0)</f>
        <v>0</v>
      </c>
      <c r="T44" s="100" t="n">
        <f aca="false">IFERROR(IF(R44=1,S44/12,0),0)</f>
        <v>0</v>
      </c>
      <c r="U44" s="79" t="n">
        <v>1000</v>
      </c>
      <c r="V44" s="100" t="n">
        <f aca="false">IFERROR(ROUND(IF(R44=1,S44*(1+O44)*P44*(1+Q44),U44*(1+O44)*P44*(1+Q44)),0),0)</f>
        <v>1213</v>
      </c>
      <c r="W44" s="100" t="n">
        <f aca="false">IFERROR(V44*B44,0)</f>
        <v>0</v>
      </c>
      <c r="X44" s="100" t="str">
        <f aca="false">IF(R44=1,"HIST","BASE")</f>
        <v>BASE</v>
      </c>
      <c r="Z44" s="99" t="n">
        <v>4</v>
      </c>
      <c r="AA44" s="99" t="n">
        <v>2</v>
      </c>
      <c r="AB44" s="100" t="n">
        <f aca="false">IFERROR(MAX(0,ROUND((V44/52)*(Z44+AA44)-Y44,0)),0)</f>
        <v>140</v>
      </c>
      <c r="AC44" s="100" t="str">
        <f aca="false">IFERROR(IF(Y44="","-",IF(Y44&lt;(V44/52)*AA44,"⚠ LOW STOCK",IF(AB44&gt;0,"Order Needed","✓ OK"))),"-")</f>
        <v>-</v>
      </c>
      <c r="AE44" s="100" t="str">
        <f aca="false">IFERROR(IF(OR(AD44="",Y44=""),"-",AD44*Y44),"-")</f>
        <v>-</v>
      </c>
    </row>
    <row r="45" customFormat="false" ht="19.5" hidden="false" customHeight="true" outlineLevel="0" collapsed="false">
      <c r="A45" s="19" t="s">
        <v>192</v>
      </c>
      <c r="O45" s="80" t="n">
        <v>0.05</v>
      </c>
      <c r="P45" s="80" t="n">
        <v>1.05</v>
      </c>
      <c r="Q45" s="80" t="n">
        <v>0.1</v>
      </c>
      <c r="R45" s="100" t="n">
        <f aca="false">IF(COUNTA(C45:N45)&gt;0,1,0)</f>
        <v>0</v>
      </c>
      <c r="S45" s="100" t="n">
        <f aca="false">IF(R45=1,SUM(C45:N45),0)</f>
        <v>0</v>
      </c>
      <c r="T45" s="100" t="n">
        <f aca="false">IFERROR(IF(R45=1,S45/12,0),0)</f>
        <v>0</v>
      </c>
      <c r="U45" s="79" t="n">
        <v>1000</v>
      </c>
      <c r="V45" s="100" t="n">
        <f aca="false">IFERROR(ROUND(IF(R45=1,S45*(1+O45)*P45*(1+Q45),U45*(1+O45)*P45*(1+Q45)),0),0)</f>
        <v>1213</v>
      </c>
      <c r="W45" s="100" t="n">
        <f aca="false">IFERROR(V45*B45,0)</f>
        <v>0</v>
      </c>
      <c r="X45" s="100" t="str">
        <f aca="false">IF(R45=1,"HIST","BASE")</f>
        <v>BASE</v>
      </c>
      <c r="Z45" s="99" t="n">
        <v>4</v>
      </c>
      <c r="AA45" s="99" t="n">
        <v>2</v>
      </c>
      <c r="AB45" s="100" t="n">
        <f aca="false">IFERROR(MAX(0,ROUND((V45/52)*(Z45+AA45)-Y45,0)),0)</f>
        <v>140</v>
      </c>
      <c r="AC45" s="100" t="str">
        <f aca="false">IFERROR(IF(Y45="","-",IF(Y45&lt;(V45/52)*AA45,"⚠ LOW STOCK",IF(AB45&gt;0,"Order Needed","✓ OK"))),"-")</f>
        <v>-</v>
      </c>
      <c r="AE45" s="100" t="str">
        <f aca="false">IFERROR(IF(OR(AD45="",Y45=""),"-",AD45*Y45),"-")</f>
        <v>-</v>
      </c>
    </row>
    <row r="46" customFormat="false" ht="19.5" hidden="false" customHeight="true" outlineLevel="0" collapsed="false">
      <c r="A46" s="19" t="s">
        <v>193</v>
      </c>
      <c r="O46" s="80" t="n">
        <v>0.05</v>
      </c>
      <c r="P46" s="80" t="n">
        <v>1.05</v>
      </c>
      <c r="Q46" s="80" t="n">
        <v>0.1</v>
      </c>
      <c r="R46" s="100" t="n">
        <f aca="false">IF(COUNTA(C46:N46)&gt;0,1,0)</f>
        <v>0</v>
      </c>
      <c r="S46" s="100" t="n">
        <f aca="false">IF(R46=1,SUM(C46:N46),0)</f>
        <v>0</v>
      </c>
      <c r="T46" s="100" t="n">
        <f aca="false">IFERROR(IF(R46=1,S46/12,0),0)</f>
        <v>0</v>
      </c>
      <c r="U46" s="79" t="n">
        <v>1000</v>
      </c>
      <c r="V46" s="100" t="n">
        <f aca="false">IFERROR(ROUND(IF(R46=1,S46*(1+O46)*P46*(1+Q46),U46*(1+O46)*P46*(1+Q46)),0),0)</f>
        <v>1213</v>
      </c>
      <c r="W46" s="100" t="n">
        <f aca="false">IFERROR(V46*B46,0)</f>
        <v>0</v>
      </c>
      <c r="X46" s="100" t="str">
        <f aca="false">IF(R46=1,"HIST","BASE")</f>
        <v>BASE</v>
      </c>
      <c r="Z46" s="99" t="n">
        <v>4</v>
      </c>
      <c r="AA46" s="99" t="n">
        <v>2</v>
      </c>
      <c r="AB46" s="100" t="n">
        <f aca="false">IFERROR(MAX(0,ROUND((V46/52)*(Z46+AA46)-Y46,0)),0)</f>
        <v>140</v>
      </c>
      <c r="AC46" s="100" t="str">
        <f aca="false">IFERROR(IF(Y46="","-",IF(Y46&lt;(V46/52)*AA46,"⚠ LOW STOCK",IF(AB46&gt;0,"Order Needed","✓ OK"))),"-")</f>
        <v>-</v>
      </c>
      <c r="AE46" s="100" t="str">
        <f aca="false">IFERROR(IF(OR(AD46="",Y46=""),"-",AD46*Y46),"-")</f>
        <v>-</v>
      </c>
    </row>
    <row r="47" customFormat="false" ht="19.5" hidden="false" customHeight="true" outlineLevel="0" collapsed="false">
      <c r="A47" s="19" t="s">
        <v>194</v>
      </c>
      <c r="O47" s="80" t="n">
        <v>0.05</v>
      </c>
      <c r="P47" s="80" t="n">
        <v>1.05</v>
      </c>
      <c r="Q47" s="80" t="n">
        <v>0.1</v>
      </c>
      <c r="R47" s="100" t="n">
        <f aca="false">IF(COUNTA(C47:N47)&gt;0,1,0)</f>
        <v>0</v>
      </c>
      <c r="S47" s="100" t="n">
        <f aca="false">IF(R47=1,SUM(C47:N47),0)</f>
        <v>0</v>
      </c>
      <c r="T47" s="100" t="n">
        <f aca="false">IFERROR(IF(R47=1,S47/12,0),0)</f>
        <v>0</v>
      </c>
      <c r="U47" s="79" t="n">
        <v>1000</v>
      </c>
      <c r="V47" s="100" t="n">
        <f aca="false">IFERROR(ROUND(IF(R47=1,S47*(1+O47)*P47*(1+Q47),U47*(1+O47)*P47*(1+Q47)),0),0)</f>
        <v>1213</v>
      </c>
      <c r="W47" s="100" t="n">
        <f aca="false">IFERROR(V47*B47,0)</f>
        <v>0</v>
      </c>
      <c r="X47" s="100" t="str">
        <f aca="false">IF(R47=1,"HIST","BASE")</f>
        <v>BASE</v>
      </c>
      <c r="Z47" s="99" t="n">
        <v>4</v>
      </c>
      <c r="AA47" s="99" t="n">
        <v>2</v>
      </c>
      <c r="AB47" s="100" t="n">
        <f aca="false">IFERROR(MAX(0,ROUND((V47/52)*(Z47+AA47)-Y47,0)),0)</f>
        <v>140</v>
      </c>
      <c r="AC47" s="100" t="str">
        <f aca="false">IFERROR(IF(Y47="","-",IF(Y47&lt;(V47/52)*AA47,"⚠ LOW STOCK",IF(AB47&gt;0,"Order Needed","✓ OK"))),"-")</f>
        <v>-</v>
      </c>
      <c r="AE47" s="100" t="str">
        <f aca="false">IFERROR(IF(OR(AD47="",Y47=""),"-",AD47*Y47),"-")</f>
        <v>-</v>
      </c>
    </row>
    <row r="48" customFormat="false" ht="19.5" hidden="false" customHeight="true" outlineLevel="0" collapsed="false">
      <c r="A48" s="19" t="s">
        <v>195</v>
      </c>
      <c r="O48" s="80" t="n">
        <v>0.05</v>
      </c>
      <c r="P48" s="80" t="n">
        <v>1.05</v>
      </c>
      <c r="Q48" s="80" t="n">
        <v>0.1</v>
      </c>
      <c r="R48" s="100" t="n">
        <f aca="false">IF(COUNTA(C48:N48)&gt;0,1,0)</f>
        <v>0</v>
      </c>
      <c r="S48" s="100" t="n">
        <f aca="false">IF(R48=1,SUM(C48:N48),0)</f>
        <v>0</v>
      </c>
      <c r="T48" s="100" t="n">
        <f aca="false">IFERROR(IF(R48=1,S48/12,0),0)</f>
        <v>0</v>
      </c>
      <c r="U48" s="79" t="n">
        <v>1000</v>
      </c>
      <c r="V48" s="100" t="n">
        <f aca="false">IFERROR(ROUND(IF(R48=1,S48*(1+O48)*P48*(1+Q48),U48*(1+O48)*P48*(1+Q48)),0),0)</f>
        <v>1213</v>
      </c>
      <c r="W48" s="100" t="n">
        <f aca="false">IFERROR(V48*B48,0)</f>
        <v>0</v>
      </c>
      <c r="X48" s="100" t="str">
        <f aca="false">IF(R48=1,"HIST","BASE")</f>
        <v>BASE</v>
      </c>
      <c r="Z48" s="99" t="n">
        <v>4</v>
      </c>
      <c r="AA48" s="99" t="n">
        <v>2</v>
      </c>
      <c r="AB48" s="100" t="n">
        <f aca="false">IFERROR(MAX(0,ROUND((V48/52)*(Z48+AA48)-Y48,0)),0)</f>
        <v>140</v>
      </c>
      <c r="AC48" s="100" t="str">
        <f aca="false">IFERROR(IF(Y48="","-",IF(Y48&lt;(V48/52)*AA48,"⚠ LOW STOCK",IF(AB48&gt;0,"Order Needed","✓ OK"))),"-")</f>
        <v>-</v>
      </c>
      <c r="AE48" s="100" t="str">
        <f aca="false">IFERROR(IF(OR(AD48="",Y48=""),"-",AD48*Y48),"-")</f>
        <v>-</v>
      </c>
    </row>
    <row r="49" customFormat="false" ht="19.5" hidden="false" customHeight="true" outlineLevel="0" collapsed="false">
      <c r="A49" s="19" t="s">
        <v>196</v>
      </c>
      <c r="O49" s="80" t="n">
        <v>0.05</v>
      </c>
      <c r="P49" s="80" t="n">
        <v>1.05</v>
      </c>
      <c r="Q49" s="80" t="n">
        <v>0.1</v>
      </c>
      <c r="R49" s="100" t="n">
        <f aca="false">IF(COUNTA(C49:N49)&gt;0,1,0)</f>
        <v>0</v>
      </c>
      <c r="S49" s="100" t="n">
        <f aca="false">IF(R49=1,SUM(C49:N49),0)</f>
        <v>0</v>
      </c>
      <c r="T49" s="100" t="n">
        <f aca="false">IFERROR(IF(R49=1,S49/12,0),0)</f>
        <v>0</v>
      </c>
      <c r="U49" s="79" t="n">
        <v>1000</v>
      </c>
      <c r="V49" s="100" t="n">
        <f aca="false">IFERROR(ROUND(IF(R49=1,S49*(1+O49)*P49*(1+Q49),U49*(1+O49)*P49*(1+Q49)),0),0)</f>
        <v>1213</v>
      </c>
      <c r="W49" s="100" t="n">
        <f aca="false">IFERROR(V49*B49,0)</f>
        <v>0</v>
      </c>
      <c r="X49" s="100" t="str">
        <f aca="false">IF(R49=1,"HIST","BASE")</f>
        <v>BASE</v>
      </c>
      <c r="Z49" s="99" t="n">
        <v>4</v>
      </c>
      <c r="AA49" s="99" t="n">
        <v>2</v>
      </c>
      <c r="AB49" s="100" t="n">
        <f aca="false">IFERROR(MAX(0,ROUND((V49/52)*(Z49+AA49)-Y49,0)),0)</f>
        <v>140</v>
      </c>
      <c r="AC49" s="100" t="str">
        <f aca="false">IFERROR(IF(Y49="","-",IF(Y49&lt;(V49/52)*AA49,"⚠ LOW STOCK",IF(AB49&gt;0,"Order Needed","✓ OK"))),"-")</f>
        <v>-</v>
      </c>
      <c r="AE49" s="100" t="str">
        <f aca="false">IFERROR(IF(OR(AD49="",Y49=""),"-",AD49*Y49),"-")</f>
        <v>-</v>
      </c>
    </row>
    <row r="50" customFormat="false" ht="19.5" hidden="false" customHeight="true" outlineLevel="0" collapsed="false">
      <c r="A50" s="19" t="s">
        <v>197</v>
      </c>
      <c r="O50" s="80" t="n">
        <v>0.05</v>
      </c>
      <c r="P50" s="80" t="n">
        <v>1.05</v>
      </c>
      <c r="Q50" s="80" t="n">
        <v>0.1</v>
      </c>
      <c r="R50" s="100" t="n">
        <f aca="false">IF(COUNTA(C50:N50)&gt;0,1,0)</f>
        <v>0</v>
      </c>
      <c r="S50" s="100" t="n">
        <f aca="false">IF(R50=1,SUM(C50:N50),0)</f>
        <v>0</v>
      </c>
      <c r="T50" s="100" t="n">
        <f aca="false">IFERROR(IF(R50=1,S50/12,0),0)</f>
        <v>0</v>
      </c>
      <c r="U50" s="79" t="n">
        <v>1000</v>
      </c>
      <c r="V50" s="100" t="n">
        <f aca="false">IFERROR(ROUND(IF(R50=1,S50*(1+O50)*P50*(1+Q50),U50*(1+O50)*P50*(1+Q50)),0),0)</f>
        <v>1213</v>
      </c>
      <c r="W50" s="100" t="n">
        <f aca="false">IFERROR(V50*B50,0)</f>
        <v>0</v>
      </c>
      <c r="X50" s="100" t="str">
        <f aca="false">IF(R50=1,"HIST","BASE")</f>
        <v>BASE</v>
      </c>
      <c r="Z50" s="99" t="n">
        <v>4</v>
      </c>
      <c r="AA50" s="99" t="n">
        <v>2</v>
      </c>
      <c r="AB50" s="100" t="n">
        <f aca="false">IFERROR(MAX(0,ROUND((V50/52)*(Z50+AA50)-Y50,0)),0)</f>
        <v>140</v>
      </c>
      <c r="AC50" s="100" t="str">
        <f aca="false">IFERROR(IF(Y50="","-",IF(Y50&lt;(V50/52)*AA50,"⚠ LOW STOCK",IF(AB50&gt;0,"Order Needed","✓ OK"))),"-")</f>
        <v>-</v>
      </c>
      <c r="AE50" s="100" t="str">
        <f aca="false">IFERROR(IF(OR(AD50="",Y50=""),"-",AD50*Y50),"-")</f>
        <v>-</v>
      </c>
    </row>
    <row r="51" customFormat="false" ht="19.5" hidden="false" customHeight="true" outlineLevel="0" collapsed="false">
      <c r="A51" s="19" t="s">
        <v>198</v>
      </c>
      <c r="O51" s="80" t="n">
        <v>0.05</v>
      </c>
      <c r="P51" s="80" t="n">
        <v>1.05</v>
      </c>
      <c r="Q51" s="80" t="n">
        <v>0.1</v>
      </c>
      <c r="R51" s="100" t="n">
        <f aca="false">IF(COUNTA(C51:N51)&gt;0,1,0)</f>
        <v>0</v>
      </c>
      <c r="S51" s="100" t="n">
        <f aca="false">IF(R51=1,SUM(C51:N51),0)</f>
        <v>0</v>
      </c>
      <c r="T51" s="100" t="n">
        <f aca="false">IFERROR(IF(R51=1,S51/12,0),0)</f>
        <v>0</v>
      </c>
      <c r="U51" s="79" t="n">
        <v>1000</v>
      </c>
      <c r="V51" s="100" t="n">
        <f aca="false">IFERROR(ROUND(IF(R51=1,S51*(1+O51)*P51*(1+Q51),U51*(1+O51)*P51*(1+Q51)),0),0)</f>
        <v>1213</v>
      </c>
      <c r="W51" s="100" t="n">
        <f aca="false">IFERROR(V51*B51,0)</f>
        <v>0</v>
      </c>
      <c r="X51" s="100" t="str">
        <f aca="false">IF(R51=1,"HIST","BASE")</f>
        <v>BASE</v>
      </c>
      <c r="Z51" s="99" t="n">
        <v>4</v>
      </c>
      <c r="AA51" s="99" t="n">
        <v>2</v>
      </c>
      <c r="AB51" s="100" t="n">
        <f aca="false">IFERROR(MAX(0,ROUND((V51/52)*(Z51+AA51)-Y51,0)),0)</f>
        <v>140</v>
      </c>
      <c r="AC51" s="100" t="str">
        <f aca="false">IFERROR(IF(Y51="","-",IF(Y51&lt;(V51/52)*AA51,"⚠ LOW STOCK",IF(AB51&gt;0,"Order Needed","✓ OK"))),"-")</f>
        <v>-</v>
      </c>
      <c r="AE51" s="100" t="str">
        <f aca="false">IFERROR(IF(OR(AD51="",Y51=""),"-",AD51*Y51),"-")</f>
        <v>-</v>
      </c>
    </row>
    <row r="52" customFormat="false" ht="19.5" hidden="false" customHeight="true" outlineLevel="0" collapsed="false">
      <c r="A52" s="19" t="s">
        <v>199</v>
      </c>
      <c r="O52" s="80" t="n">
        <v>0.05</v>
      </c>
      <c r="P52" s="80" t="n">
        <v>1.05</v>
      </c>
      <c r="Q52" s="80" t="n">
        <v>0.1</v>
      </c>
      <c r="R52" s="100" t="n">
        <f aca="false">IF(COUNTA(C52:N52)&gt;0,1,0)</f>
        <v>0</v>
      </c>
      <c r="S52" s="100" t="n">
        <f aca="false">IF(R52=1,SUM(C52:N52),0)</f>
        <v>0</v>
      </c>
      <c r="T52" s="100" t="n">
        <f aca="false">IFERROR(IF(R52=1,S52/12,0),0)</f>
        <v>0</v>
      </c>
      <c r="U52" s="79" t="n">
        <v>1000</v>
      </c>
      <c r="V52" s="100" t="n">
        <f aca="false">IFERROR(ROUND(IF(R52=1,S52*(1+O52)*P52*(1+Q52),U52*(1+O52)*P52*(1+Q52)),0),0)</f>
        <v>1213</v>
      </c>
      <c r="W52" s="100" t="n">
        <f aca="false">IFERROR(V52*B52,0)</f>
        <v>0</v>
      </c>
      <c r="X52" s="100" t="str">
        <f aca="false">IF(R52=1,"HIST","BASE")</f>
        <v>BASE</v>
      </c>
      <c r="Z52" s="99" t="n">
        <v>4</v>
      </c>
      <c r="AA52" s="99" t="n">
        <v>2</v>
      </c>
      <c r="AB52" s="100" t="n">
        <f aca="false">IFERROR(MAX(0,ROUND((V52/52)*(Z52+AA52)-Y52,0)),0)</f>
        <v>140</v>
      </c>
      <c r="AC52" s="100" t="str">
        <f aca="false">IFERROR(IF(Y52="","-",IF(Y52&lt;(V52/52)*AA52,"⚠ LOW STOCK",IF(AB52&gt;0,"Order Needed","✓ OK"))),"-")</f>
        <v>-</v>
      </c>
      <c r="AE52" s="100" t="str">
        <f aca="false">IFERROR(IF(OR(AD52="",Y52=""),"-",AD52*Y52),"-")</f>
        <v>-</v>
      </c>
    </row>
    <row r="53" customFormat="false" ht="19.5" hidden="false" customHeight="true" outlineLevel="0" collapsed="false">
      <c r="A53" s="19" t="s">
        <v>200</v>
      </c>
      <c r="O53" s="80" t="n">
        <v>0.05</v>
      </c>
      <c r="P53" s="80" t="n">
        <v>1.05</v>
      </c>
      <c r="Q53" s="80" t="n">
        <v>0.1</v>
      </c>
      <c r="R53" s="100" t="n">
        <f aca="false">IF(COUNTA(C53:N53)&gt;0,1,0)</f>
        <v>0</v>
      </c>
      <c r="S53" s="100" t="n">
        <f aca="false">IF(R53=1,SUM(C53:N53),0)</f>
        <v>0</v>
      </c>
      <c r="T53" s="100" t="n">
        <f aca="false">IFERROR(IF(R53=1,S53/12,0),0)</f>
        <v>0</v>
      </c>
      <c r="U53" s="79" t="n">
        <v>1000</v>
      </c>
      <c r="V53" s="100" t="n">
        <f aca="false">IFERROR(ROUND(IF(R53=1,S53*(1+O53)*P53*(1+Q53),U53*(1+O53)*P53*(1+Q53)),0),0)</f>
        <v>1213</v>
      </c>
      <c r="W53" s="100" t="n">
        <f aca="false">IFERROR(V53*B53,0)</f>
        <v>0</v>
      </c>
      <c r="X53" s="100" t="str">
        <f aca="false">IF(R53=1,"HIST","BASE")</f>
        <v>BASE</v>
      </c>
      <c r="Z53" s="99" t="n">
        <v>4</v>
      </c>
      <c r="AA53" s="99" t="n">
        <v>2</v>
      </c>
      <c r="AB53" s="100" t="n">
        <f aca="false">IFERROR(MAX(0,ROUND((V53/52)*(Z53+AA53)-Y53,0)),0)</f>
        <v>140</v>
      </c>
      <c r="AC53" s="100" t="str">
        <f aca="false">IFERROR(IF(Y53="","-",IF(Y53&lt;(V53/52)*AA53,"⚠ LOW STOCK",IF(AB53&gt;0,"Order Needed","✓ OK"))),"-")</f>
        <v>-</v>
      </c>
      <c r="AE53" s="100" t="str">
        <f aca="false">IFERROR(IF(OR(AD53="",Y53=""),"-",AD53*Y53),"-")</f>
        <v>-</v>
      </c>
    </row>
    <row r="54" customFormat="false" ht="19.5" hidden="false" customHeight="true" outlineLevel="0" collapsed="false">
      <c r="A54" s="19" t="s">
        <v>201</v>
      </c>
      <c r="O54" s="80" t="n">
        <v>0.05</v>
      </c>
      <c r="P54" s="80" t="n">
        <v>1.05</v>
      </c>
      <c r="Q54" s="80" t="n">
        <v>0.1</v>
      </c>
      <c r="R54" s="100" t="n">
        <f aca="false">IF(COUNTA(C54:N54)&gt;0,1,0)</f>
        <v>0</v>
      </c>
      <c r="S54" s="100" t="n">
        <f aca="false">IF(R54=1,SUM(C54:N54),0)</f>
        <v>0</v>
      </c>
      <c r="T54" s="100" t="n">
        <f aca="false">IFERROR(IF(R54=1,S54/12,0),0)</f>
        <v>0</v>
      </c>
      <c r="U54" s="79" t="n">
        <v>1000</v>
      </c>
      <c r="V54" s="100" t="n">
        <f aca="false">IFERROR(ROUND(IF(R54=1,S54*(1+O54)*P54*(1+Q54),U54*(1+O54)*P54*(1+Q54)),0),0)</f>
        <v>1213</v>
      </c>
      <c r="W54" s="100" t="n">
        <f aca="false">IFERROR(V54*B54,0)</f>
        <v>0</v>
      </c>
      <c r="X54" s="100" t="str">
        <f aca="false">IF(R54=1,"HIST","BASE")</f>
        <v>BASE</v>
      </c>
      <c r="Z54" s="99" t="n">
        <v>4</v>
      </c>
      <c r="AA54" s="99" t="n">
        <v>2</v>
      </c>
      <c r="AB54" s="100" t="n">
        <f aca="false">IFERROR(MAX(0,ROUND((V54/52)*(Z54+AA54)-Y54,0)),0)</f>
        <v>140</v>
      </c>
      <c r="AC54" s="100" t="str">
        <f aca="false">IFERROR(IF(Y54="","-",IF(Y54&lt;(V54/52)*AA54,"⚠ LOW STOCK",IF(AB54&gt;0,"Order Needed","✓ OK"))),"-")</f>
        <v>-</v>
      </c>
      <c r="AE54" s="100" t="str">
        <f aca="false">IFERROR(IF(OR(AD54="",Y54=""),"-",AD54*Y54),"-")</f>
        <v>-</v>
      </c>
    </row>
    <row r="55" customFormat="false" ht="19.5" hidden="false" customHeight="true" outlineLevel="0" collapsed="false">
      <c r="A55" s="19" t="s">
        <v>202</v>
      </c>
      <c r="O55" s="80" t="n">
        <v>0.05</v>
      </c>
      <c r="P55" s="80" t="n">
        <v>1.05</v>
      </c>
      <c r="Q55" s="80" t="n">
        <v>0.1</v>
      </c>
      <c r="R55" s="100" t="n">
        <f aca="false">IF(COUNTA(C55:N55)&gt;0,1,0)</f>
        <v>0</v>
      </c>
      <c r="S55" s="100" t="n">
        <f aca="false">IF(R55=1,SUM(C55:N55),0)</f>
        <v>0</v>
      </c>
      <c r="T55" s="100" t="n">
        <f aca="false">IFERROR(IF(R55=1,S55/12,0),0)</f>
        <v>0</v>
      </c>
      <c r="U55" s="79" t="n">
        <v>1000</v>
      </c>
      <c r="V55" s="100" t="n">
        <f aca="false">IFERROR(ROUND(IF(R55=1,S55*(1+O55)*P55*(1+Q55),U55*(1+O55)*P55*(1+Q55)),0),0)</f>
        <v>1213</v>
      </c>
      <c r="W55" s="100" t="n">
        <f aca="false">IFERROR(V55*B55,0)</f>
        <v>0</v>
      </c>
      <c r="X55" s="100" t="str">
        <f aca="false">IF(R55=1,"HIST","BASE")</f>
        <v>BASE</v>
      </c>
      <c r="Z55" s="99" t="n">
        <v>4</v>
      </c>
      <c r="AA55" s="99" t="n">
        <v>2</v>
      </c>
      <c r="AB55" s="100" t="n">
        <f aca="false">IFERROR(MAX(0,ROUND((V55/52)*(Z55+AA55)-Y55,0)),0)</f>
        <v>140</v>
      </c>
      <c r="AC55" s="100" t="str">
        <f aca="false">IFERROR(IF(Y55="","-",IF(Y55&lt;(V55/52)*AA55,"⚠ LOW STOCK",IF(AB55&gt;0,"Order Needed","✓ OK"))),"-")</f>
        <v>-</v>
      </c>
      <c r="AE55" s="100" t="str">
        <f aca="false">IFERROR(IF(OR(AD55="",Y55=""),"-",AD55*Y55),"-")</f>
        <v>-</v>
      </c>
    </row>
    <row r="56" customFormat="false" ht="21.75" hidden="false" customHeight="true" outlineLevel="0" collapsed="false">
      <c r="A56" s="32" t="s">
        <v>451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V56" s="56" t="n">
        <f aca="false">SUM(V6:V55)</f>
        <v>63585</v>
      </c>
      <c r="W56" s="56" t="n">
        <f aca="false">SUM(W6:W55)</f>
        <v>1238378.7</v>
      </c>
    </row>
  </sheetData>
  <mergeCells count="5">
    <mergeCell ref="A1:AE1"/>
    <mergeCell ref="A2:AE2"/>
    <mergeCell ref="A3:AE3"/>
    <mergeCell ref="A4:AE4"/>
    <mergeCell ref="A56:Q5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8" min="2" style="1" width="16"/>
    <col collapsed="false" customWidth="true" hidden="false" outlineLevel="0" max="9" min="9" style="1" width="20"/>
    <col collapsed="false" customWidth="true" hidden="false" outlineLevel="0" max="11" min="10" style="1" width="16"/>
  </cols>
  <sheetData>
    <row r="1" customFormat="false" ht="27.75" hidden="false" customHeight="true" outlineLevel="0" collapsed="false">
      <c r="A1" s="14" t="s">
        <v>452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customFormat="false" ht="15" hidden="false" customHeight="true" outlineLevel="0" collapsed="false">
      <c r="A2" s="15" t="s">
        <v>453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customFormat="false" ht="39.75" hidden="false" customHeight="true" outlineLevel="0" collapsed="false">
      <c r="A3" s="37" t="s">
        <v>125</v>
      </c>
      <c r="B3" s="37" t="s">
        <v>454</v>
      </c>
      <c r="C3" s="37" t="s">
        <v>455</v>
      </c>
      <c r="D3" s="37" t="s">
        <v>435</v>
      </c>
      <c r="E3" s="37" t="s">
        <v>436</v>
      </c>
      <c r="F3" s="37" t="s">
        <v>456</v>
      </c>
      <c r="G3" s="37" t="s">
        <v>437</v>
      </c>
      <c r="H3" s="37" t="s">
        <v>457</v>
      </c>
      <c r="I3" s="37" t="s">
        <v>438</v>
      </c>
      <c r="J3" s="37" t="s">
        <v>439</v>
      </c>
      <c r="K3" s="37" t="s">
        <v>440</v>
      </c>
    </row>
    <row r="4" customFormat="false" ht="19.5" hidden="false" customHeight="true" outlineLevel="0" collapsed="false">
      <c r="A4" s="62" t="str">
        <f aca="false">'📦 Product Input'!A6</f>
        <v>Product 1</v>
      </c>
      <c r="B4" s="64" t="n">
        <f aca="false">'📦 Product Input'!Y6</f>
        <v>350</v>
      </c>
      <c r="C4" s="103" t="n">
        <f aca="false">IFERROR('📦 Product Input'!V6/52,0)</f>
        <v>31.4807692307692</v>
      </c>
      <c r="D4" s="104" t="n">
        <f aca="false">'📦 Product Input'!Z6</f>
        <v>4</v>
      </c>
      <c r="E4" s="104" t="n">
        <f aca="false">'📦 Product Input'!AA6</f>
        <v>2</v>
      </c>
      <c r="F4" s="105" t="n">
        <f aca="false">IFERROR(ROUND(C4*(D4+E4),0),0)</f>
        <v>189</v>
      </c>
      <c r="G4" s="105" t="n">
        <f aca="false">IFERROR(MAX(0,F4-B4),0)</f>
        <v>0</v>
      </c>
      <c r="H4" s="106" t="n">
        <f aca="false">IFERROR(B4/MAX(0.01,C4),0)</f>
        <v>11.1178985949908</v>
      </c>
      <c r="I4" s="91" t="str">
        <f aca="false">IFERROR(IF(B4="","-",IF(B4=0,"⚠ OUT OF STOCK",IF(H4&lt;E4,"⚠ LOW STOCK",IF(G4&gt;0,"Order Needed","✓ OK")))),"-")</f>
        <v>✓ OK</v>
      </c>
      <c r="J4" s="107" t="n">
        <f aca="false">'📦 Product Input'!AD6</f>
        <v>18.5</v>
      </c>
      <c r="K4" s="63" t="n">
        <f aca="false">IFERROR(IF(J4=0,"-",J4*B4),"-")</f>
        <v>6475</v>
      </c>
    </row>
    <row r="5" customFormat="false" ht="19.5" hidden="false" customHeight="true" outlineLevel="0" collapsed="false">
      <c r="A5" s="62" t="str">
        <f aca="false">'📦 Product Input'!A7</f>
        <v>Product 2</v>
      </c>
      <c r="B5" s="64" t="n">
        <f aca="false">'📦 Product Input'!Y7</f>
        <v>180</v>
      </c>
      <c r="C5" s="103" t="n">
        <f aca="false">IFERROR('📦 Product Input'!V7/52,0)</f>
        <v>24.7307692307692</v>
      </c>
      <c r="D5" s="104" t="n">
        <f aca="false">'📦 Product Input'!Z7</f>
        <v>5</v>
      </c>
      <c r="E5" s="104" t="n">
        <f aca="false">'📦 Product Input'!AA7</f>
        <v>3</v>
      </c>
      <c r="F5" s="105" t="n">
        <f aca="false">IFERROR(ROUND(C5*(D5+E5),0),0)</f>
        <v>198</v>
      </c>
      <c r="G5" s="105" t="n">
        <f aca="false">IFERROR(MAX(0,F5-B5),0)</f>
        <v>18</v>
      </c>
      <c r="H5" s="106" t="n">
        <f aca="false">IFERROR(B5/MAX(0.01,C5),0)</f>
        <v>7.27838258164852</v>
      </c>
      <c r="I5" s="91" t="str">
        <f aca="false">IFERROR(IF(B5="","-",IF(B5=0,"⚠ OUT OF STOCK",IF(H5&lt;E5,"⚠ LOW STOCK",IF(G5&gt;0,"Order Needed","✓ OK")))),"-")</f>
        <v>Order Needed</v>
      </c>
      <c r="J5" s="107" t="n">
        <f aca="false">'📦 Product Input'!AD7</f>
        <v>32.8</v>
      </c>
      <c r="K5" s="63" t="n">
        <f aca="false">IFERROR(IF(J5=0,"-",J5*B5),"-")</f>
        <v>5904</v>
      </c>
    </row>
    <row r="6" customFormat="false" ht="19.5" hidden="false" customHeight="true" outlineLevel="0" collapsed="false">
      <c r="A6" s="62" t="str">
        <f aca="false">'📦 Product Input'!A8</f>
        <v>Product 3</v>
      </c>
      <c r="B6" s="64" t="n">
        <f aca="false">'📦 Product Input'!Y8</f>
        <v>520</v>
      </c>
      <c r="C6" s="103" t="n">
        <f aca="false">IFERROR('📦 Product Input'!V8/52,0)</f>
        <v>44.0576923076923</v>
      </c>
      <c r="D6" s="104" t="n">
        <f aca="false">'📦 Product Input'!Z8</f>
        <v>3</v>
      </c>
      <c r="E6" s="104" t="n">
        <f aca="false">'📦 Product Input'!AA8</f>
        <v>2</v>
      </c>
      <c r="F6" s="105" t="n">
        <f aca="false">IFERROR(ROUND(C6*(D6+E6),0),0)</f>
        <v>220</v>
      </c>
      <c r="G6" s="105" t="n">
        <f aca="false">IFERROR(MAX(0,F6-B6),0)</f>
        <v>0</v>
      </c>
      <c r="H6" s="106" t="n">
        <f aca="false">IFERROR(B6/MAX(0.01,C6),0)</f>
        <v>11.8027062418158</v>
      </c>
      <c r="I6" s="91" t="str">
        <f aca="false">IFERROR(IF(B6="","-",IF(B6=0,"⚠ OUT OF STOCK",IF(H6&lt;E6,"⚠ LOW STOCK",IF(G6&gt;0,"Order Needed","✓ OK")))),"-")</f>
        <v>✓ OK</v>
      </c>
      <c r="J6" s="107" t="n">
        <f aca="false">'📦 Product Input'!AD8</f>
        <v>14.5</v>
      </c>
      <c r="K6" s="63" t="n">
        <f aca="false">IFERROR(IF(J6=0,"-",J6*B6),"-")</f>
        <v>7540</v>
      </c>
    </row>
    <row r="7" customFormat="false" ht="19.5" hidden="false" customHeight="true" outlineLevel="0" collapsed="false">
      <c r="A7" s="62" t="str">
        <f aca="false">'📦 Product Input'!A9</f>
        <v>Product 4</v>
      </c>
      <c r="B7" s="64" t="n">
        <f aca="false">'📦 Product Input'!Y9</f>
        <v>220</v>
      </c>
      <c r="C7" s="103" t="n">
        <f aca="false">IFERROR('📦 Product Input'!V9/52,0)</f>
        <v>24.6730769230769</v>
      </c>
      <c r="D7" s="104" t="n">
        <f aca="false">'📦 Product Input'!Z9</f>
        <v>4</v>
      </c>
      <c r="E7" s="104" t="n">
        <f aca="false">'📦 Product Input'!AA9</f>
        <v>2</v>
      </c>
      <c r="F7" s="105" t="n">
        <f aca="false">IFERROR(ROUND(C7*(D7+E7),0),0)</f>
        <v>148</v>
      </c>
      <c r="G7" s="105" t="n">
        <f aca="false">IFERROR(MAX(0,F7-B7),0)</f>
        <v>0</v>
      </c>
      <c r="H7" s="106" t="n">
        <f aca="false">IFERROR(B7/MAX(0.01,C7),0)</f>
        <v>8.9166017147311</v>
      </c>
      <c r="I7" s="91" t="str">
        <f aca="false">IFERROR(IF(B7="","-",IF(B7=0,"⚠ OUT OF STOCK",IF(H7&lt;E7,"⚠ LOW STOCK",IF(G7&gt;0,"Order Needed","✓ OK")))),"-")</f>
        <v>✓ OK</v>
      </c>
      <c r="J7" s="107" t="n">
        <f aca="false">'📦 Product Input'!AD9</f>
        <v>24.5</v>
      </c>
      <c r="K7" s="63" t="n">
        <f aca="false">IFERROR(IF(J7=0,"-",J7*B7),"-")</f>
        <v>5390</v>
      </c>
    </row>
    <row r="8" customFormat="false" ht="19.5" hidden="false" customHeight="true" outlineLevel="0" collapsed="false">
      <c r="A8" s="62" t="str">
        <f aca="false">'📦 Product Input'!A10</f>
        <v>Product 5</v>
      </c>
      <c r="B8" s="64" t="n">
        <f aca="false">'📦 Product Input'!Y10</f>
        <v>450</v>
      </c>
      <c r="C8" s="103" t="n">
        <f aca="false">IFERROR('📦 Product Input'!V10/52,0)</f>
        <v>45.7884615384615</v>
      </c>
      <c r="D8" s="104" t="n">
        <f aca="false">'📦 Product Input'!Z10</f>
        <v>3</v>
      </c>
      <c r="E8" s="104" t="n">
        <f aca="false">'📦 Product Input'!AA10</f>
        <v>2</v>
      </c>
      <c r="F8" s="105" t="n">
        <f aca="false">IFERROR(ROUND(C8*(D8+E8),0),0)</f>
        <v>229</v>
      </c>
      <c r="G8" s="105" t="n">
        <f aca="false">IFERROR(MAX(0,F8-B8),0)</f>
        <v>0</v>
      </c>
      <c r="H8" s="106" t="n">
        <f aca="false">IFERROR(B8/MAX(0.01,C8),0)</f>
        <v>9.82780344393112</v>
      </c>
      <c r="I8" s="91" t="str">
        <f aca="false">IFERROR(IF(B8="","-",IF(B8=0,"⚠ OUT OF STOCK",IF(H8&lt;E8,"⚠ LOW STOCK",IF(G8&gt;0,"Order Needed","✓ OK")))),"-")</f>
        <v>✓ OK</v>
      </c>
      <c r="J8" s="107" t="n">
        <f aca="false">'📦 Product Input'!AD10</f>
        <v>9.8</v>
      </c>
      <c r="K8" s="63" t="n">
        <f aca="false">IFERROR(IF(J8=0,"-",J8*B8),"-")</f>
        <v>4410</v>
      </c>
    </row>
    <row r="9" customFormat="false" ht="19.5" hidden="false" customHeight="true" outlineLevel="0" collapsed="false">
      <c r="A9" s="62" t="str">
        <f aca="false">'📦 Product Input'!A11</f>
        <v>Product 6</v>
      </c>
      <c r="B9" s="64" t="n">
        <f aca="false">'📦 Product Input'!Y11</f>
        <v>280</v>
      </c>
      <c r="C9" s="103" t="n">
        <f aca="false">IFERROR('📦 Product Input'!V11/52,0)</f>
        <v>32.3653846153846</v>
      </c>
      <c r="D9" s="104" t="n">
        <f aca="false">'📦 Product Input'!Z11</f>
        <v>4</v>
      </c>
      <c r="E9" s="104" t="n">
        <f aca="false">'📦 Product Input'!AA11</f>
        <v>3</v>
      </c>
      <c r="F9" s="105" t="n">
        <f aca="false">IFERROR(ROUND(C9*(D9+E9),0),0)</f>
        <v>227</v>
      </c>
      <c r="G9" s="105" t="n">
        <f aca="false">IFERROR(MAX(0,F9-B9),0)</f>
        <v>0</v>
      </c>
      <c r="H9" s="106" t="n">
        <f aca="false">IFERROR(B9/MAX(0.01,C9),0)</f>
        <v>8.65121806298277</v>
      </c>
      <c r="I9" s="91" t="str">
        <f aca="false">IFERROR(IF(B9="","-",IF(B9=0,"⚠ OUT OF STOCK",IF(H9&lt;E9,"⚠ LOW STOCK",IF(G9&gt;0,"Order Needed","✓ OK")))),"-")</f>
        <v>✓ OK</v>
      </c>
      <c r="J9" s="107" t="n">
        <f aca="false">'📦 Product Input'!AD11</f>
        <v>16.5</v>
      </c>
      <c r="K9" s="63" t="n">
        <f aca="false">IFERROR(IF(J9=0,"-",J9*B9),"-")</f>
        <v>4620</v>
      </c>
    </row>
    <row r="10" customFormat="false" ht="19.5" hidden="false" customHeight="true" outlineLevel="0" collapsed="false">
      <c r="A10" s="62" t="str">
        <f aca="false">'📦 Product Input'!A12</f>
        <v>Product 7</v>
      </c>
      <c r="B10" s="64" t="n">
        <f aca="false">'📦 Product Input'!Y12</f>
        <v>120</v>
      </c>
      <c r="C10" s="103" t="n">
        <f aca="false">IFERROR('📦 Product Input'!V12/52,0)</f>
        <v>15.1730769230769</v>
      </c>
      <c r="D10" s="104" t="n">
        <f aca="false">'📦 Product Input'!Z12</f>
        <v>6</v>
      </c>
      <c r="E10" s="104" t="n">
        <f aca="false">'📦 Product Input'!AA12</f>
        <v>3</v>
      </c>
      <c r="F10" s="105" t="n">
        <f aca="false">IFERROR(ROUND(C10*(D10+E10),0),0)</f>
        <v>137</v>
      </c>
      <c r="G10" s="105" t="n">
        <f aca="false">IFERROR(MAX(0,F10-B10),0)</f>
        <v>17</v>
      </c>
      <c r="H10" s="106" t="n">
        <f aca="false">IFERROR(B10/MAX(0.01,C10),0)</f>
        <v>7.90874524714829</v>
      </c>
      <c r="I10" s="91" t="str">
        <f aca="false">IFERROR(IF(B10="","-",IF(B10=0,"⚠ OUT OF STOCK",IF(H10&lt;E10,"⚠ LOW STOCK",IF(G10&gt;0,"Order Needed","✓ OK")))),"-")</f>
        <v>Order Needed</v>
      </c>
      <c r="J10" s="107" t="n">
        <f aca="false">'📦 Product Input'!AD12</f>
        <v>49</v>
      </c>
      <c r="K10" s="63" t="n">
        <f aca="false">IFERROR(IF(J10=0,"-",J10*B10),"-")</f>
        <v>5880</v>
      </c>
    </row>
    <row r="11" customFormat="false" ht="19.5" hidden="false" customHeight="true" outlineLevel="0" collapsed="false">
      <c r="A11" s="62" t="str">
        <f aca="false">'📦 Product Input'!A13</f>
        <v>Product 8</v>
      </c>
      <c r="B11" s="64" t="n">
        <f aca="false">'📦 Product Input'!Y13</f>
        <v>230</v>
      </c>
      <c r="C11" s="103" t="n">
        <f aca="false">IFERROR('📦 Product Input'!V13/52,0)</f>
        <v>23.8461538461538</v>
      </c>
      <c r="D11" s="104" t="n">
        <f aca="false">'📦 Product Input'!Z13</f>
        <v>4</v>
      </c>
      <c r="E11" s="104" t="n">
        <f aca="false">'📦 Product Input'!AA13</f>
        <v>2</v>
      </c>
      <c r="F11" s="105" t="n">
        <f aca="false">IFERROR(ROUND(C11*(D11+E11),0),0)</f>
        <v>143</v>
      </c>
      <c r="G11" s="105" t="n">
        <f aca="false">IFERROR(MAX(0,F11-B11),0)</f>
        <v>0</v>
      </c>
      <c r="H11" s="106" t="n">
        <f aca="false">IFERROR(B11/MAX(0.01,C11),0)</f>
        <v>9.64516129032258</v>
      </c>
      <c r="I11" s="91" t="str">
        <f aca="false">IFERROR(IF(B11="","-",IF(B11=0,"⚠ OUT OF STOCK",IF(H11&lt;E11,"⚠ LOW STOCK",IF(G11&gt;0,"Order Needed","✓ OK")))),"-")</f>
        <v>✓ OK</v>
      </c>
      <c r="J11" s="107" t="n">
        <f aca="false">'📦 Product Input'!AD13</f>
        <v>16.5</v>
      </c>
      <c r="K11" s="63" t="n">
        <f aca="false">IFERROR(IF(J11=0,"-",J11*B11),"-")</f>
        <v>3795</v>
      </c>
    </row>
    <row r="12" customFormat="false" ht="19.5" hidden="false" customHeight="true" outlineLevel="0" collapsed="false">
      <c r="A12" s="62" t="str">
        <f aca="false">'📦 Product Input'!A14</f>
        <v>Product 9</v>
      </c>
      <c r="B12" s="64" t="n">
        <f aca="false">'📦 Product Input'!Y14</f>
        <v>165</v>
      </c>
      <c r="C12" s="103" t="n">
        <f aca="false">IFERROR('📦 Product Input'!V14/52,0)</f>
        <v>19.7307692307692</v>
      </c>
      <c r="D12" s="104" t="n">
        <f aca="false">'📦 Product Input'!Z14</f>
        <v>5</v>
      </c>
      <c r="E12" s="104" t="n">
        <f aca="false">'📦 Product Input'!AA14</f>
        <v>3</v>
      </c>
      <c r="F12" s="105" t="n">
        <f aca="false">IFERROR(ROUND(C12*(D12+E12),0),0)</f>
        <v>158</v>
      </c>
      <c r="G12" s="105" t="n">
        <f aca="false">IFERROR(MAX(0,F12-B12),0)</f>
        <v>0</v>
      </c>
      <c r="H12" s="106" t="n">
        <f aca="false">IFERROR(B12/MAX(0.01,C12),0)</f>
        <v>8.3625730994152</v>
      </c>
      <c r="I12" s="91" t="str">
        <f aca="false">IFERROR(IF(B12="","-",IF(B12=0,"⚠ OUT OF STOCK",IF(H12&lt;E12,"⚠ LOW STOCK",IF(G12&gt;0,"Order Needed","✓ OK")))),"-")</f>
        <v>✓ OK</v>
      </c>
      <c r="J12" s="107" t="n">
        <f aca="false">'📦 Product Input'!AD14</f>
        <v>28.5</v>
      </c>
      <c r="K12" s="63" t="n">
        <f aca="false">IFERROR(IF(J12=0,"-",J12*B12),"-")</f>
        <v>4702.5</v>
      </c>
    </row>
    <row r="13" customFormat="false" ht="19.5" hidden="false" customHeight="true" outlineLevel="0" collapsed="false">
      <c r="A13" s="62" t="str">
        <f aca="false">'📦 Product Input'!A15</f>
        <v>Product 10</v>
      </c>
      <c r="B13" s="64" t="n">
        <f aca="false">'📦 Product Input'!Y15</f>
        <v>140</v>
      </c>
      <c r="C13" s="103" t="n">
        <f aca="false">IFERROR('📦 Product Input'!V15/52,0)</f>
        <v>16.6730769230769</v>
      </c>
      <c r="D13" s="104" t="n">
        <f aca="false">'📦 Product Input'!Z15</f>
        <v>5</v>
      </c>
      <c r="E13" s="104" t="n">
        <f aca="false">'📦 Product Input'!AA15</f>
        <v>3</v>
      </c>
      <c r="F13" s="105" t="n">
        <f aca="false">IFERROR(ROUND(C13*(D13+E13),0),0)</f>
        <v>133</v>
      </c>
      <c r="G13" s="105" t="n">
        <f aca="false">IFERROR(MAX(0,F13-B13),0)</f>
        <v>0</v>
      </c>
      <c r="H13" s="106" t="n">
        <f aca="false">IFERROR(B13/MAX(0.01,C13),0)</f>
        <v>8.39677047289504</v>
      </c>
      <c r="I13" s="91" t="str">
        <f aca="false">IFERROR(IF(B13="","-",IF(B13=0,"⚠ OUT OF STOCK",IF(H13&lt;E13,"⚠ LOW STOCK",IF(G13&gt;0,"Order Needed","✓ OK")))),"-")</f>
        <v>✓ OK</v>
      </c>
      <c r="J13" s="107" t="n">
        <f aca="false">'📦 Product Input'!AD15</f>
        <v>36</v>
      </c>
      <c r="K13" s="63" t="n">
        <f aca="false">IFERROR(IF(J13=0,"-",J13*B13),"-")</f>
        <v>5040</v>
      </c>
    </row>
    <row r="14" customFormat="false" ht="19.5" hidden="false" customHeight="true" outlineLevel="0" collapsed="false">
      <c r="A14" s="62" t="str">
        <f aca="false">'📦 Product Input'!A16</f>
        <v>Product 11</v>
      </c>
      <c r="B14" s="64" t="n">
        <f aca="false">'📦 Product Input'!Y16</f>
        <v>380</v>
      </c>
      <c r="C14" s="103" t="n">
        <f aca="false">IFERROR('📦 Product Input'!V16/52,0)</f>
        <v>31.4807692307692</v>
      </c>
      <c r="D14" s="104" t="n">
        <f aca="false">'📦 Product Input'!Z16</f>
        <v>3</v>
      </c>
      <c r="E14" s="104" t="n">
        <f aca="false">'📦 Product Input'!AA16</f>
        <v>2</v>
      </c>
      <c r="F14" s="105" t="n">
        <f aca="false">IFERROR(ROUND(C14*(D14+E14),0),0)</f>
        <v>157</v>
      </c>
      <c r="G14" s="105" t="n">
        <f aca="false">IFERROR(MAX(0,F14-B14),0)</f>
        <v>0</v>
      </c>
      <c r="H14" s="106" t="n">
        <f aca="false">IFERROR(B14/MAX(0.01,C14),0)</f>
        <v>12.0708613317043</v>
      </c>
      <c r="I14" s="91" t="str">
        <f aca="false">IFERROR(IF(B14="","-",IF(B14=0,"⚠ OUT OF STOCK",IF(H14&lt;E14,"⚠ LOW STOCK",IF(G14&gt;0,"Order Needed","✓ OK")))),"-")</f>
        <v>✓ OK</v>
      </c>
      <c r="J14" s="107" t="n">
        <f aca="false">'📦 Product Input'!AD16</f>
        <v>12.5</v>
      </c>
      <c r="K14" s="63" t="n">
        <f aca="false">IFERROR(IF(J14=0,"-",J14*B14),"-")</f>
        <v>4750</v>
      </c>
    </row>
    <row r="15" customFormat="false" ht="19.5" hidden="false" customHeight="true" outlineLevel="0" collapsed="false">
      <c r="A15" s="62" t="str">
        <f aca="false">'📦 Product Input'!A17</f>
        <v>Product 12</v>
      </c>
      <c r="B15" s="64" t="n">
        <f aca="false">'📦 Product Input'!Y17</f>
        <v>185</v>
      </c>
      <c r="C15" s="103" t="n">
        <f aca="false">IFERROR('📦 Product Input'!V17/52,0)</f>
        <v>21.8076923076923</v>
      </c>
      <c r="D15" s="104" t="n">
        <f aca="false">'📦 Product Input'!Z17</f>
        <v>5</v>
      </c>
      <c r="E15" s="104" t="n">
        <f aca="false">'📦 Product Input'!AA17</f>
        <v>3</v>
      </c>
      <c r="F15" s="105" t="n">
        <f aca="false">IFERROR(ROUND(C15*(D15+E15),0),0)</f>
        <v>174</v>
      </c>
      <c r="G15" s="105" t="n">
        <f aca="false">IFERROR(MAX(0,F15-B15),0)</f>
        <v>0</v>
      </c>
      <c r="H15" s="106" t="n">
        <f aca="false">IFERROR(B15/MAX(0.01,C15),0)</f>
        <v>8.48324514991182</v>
      </c>
      <c r="I15" s="91" t="str">
        <f aca="false">IFERROR(IF(B15="","-",IF(B15=0,"⚠ OUT OF STOCK",IF(H15&lt;E15,"⚠ LOW STOCK",IF(G15&gt;0,"Order Needed","✓ OK")))),"-")</f>
        <v>✓ OK</v>
      </c>
      <c r="J15" s="107" t="n">
        <f aca="false">'📦 Product Input'!AD17</f>
        <v>28.5</v>
      </c>
      <c r="K15" s="63" t="n">
        <f aca="false">IFERROR(IF(J15=0,"-",J15*B15),"-")</f>
        <v>5272.5</v>
      </c>
    </row>
    <row r="16" customFormat="false" ht="19.5" hidden="false" customHeight="true" outlineLevel="0" collapsed="false">
      <c r="A16" s="62" t="str">
        <f aca="false">'📦 Product Input'!A18</f>
        <v>Product 13</v>
      </c>
      <c r="B16" s="64" t="n">
        <f aca="false">'📦 Product Input'!Y18</f>
        <v>280</v>
      </c>
      <c r="C16" s="103" t="n">
        <f aca="false">IFERROR('📦 Product Input'!V18/52,0)</f>
        <v>23.9423076923077</v>
      </c>
      <c r="D16" s="104" t="n">
        <f aca="false">'📦 Product Input'!Z18</f>
        <v>4</v>
      </c>
      <c r="E16" s="104" t="n">
        <f aca="false">'📦 Product Input'!AA18</f>
        <v>2</v>
      </c>
      <c r="F16" s="105" t="n">
        <f aca="false">IFERROR(ROUND(C16*(D16+E16),0),0)</f>
        <v>144</v>
      </c>
      <c r="G16" s="105" t="n">
        <f aca="false">IFERROR(MAX(0,F16-B16),0)</f>
        <v>0</v>
      </c>
      <c r="H16" s="106" t="n">
        <f aca="false">IFERROR(B16/MAX(0.01,C16),0)</f>
        <v>11.6947791164659</v>
      </c>
      <c r="I16" s="91" t="str">
        <f aca="false">IFERROR(IF(B16="","-",IF(B16=0,"⚠ OUT OF STOCK",IF(H16&lt;E16,"⚠ LOW STOCK",IF(G16&gt;0,"Order Needed","✓ OK")))),"-")</f>
        <v>✓ OK</v>
      </c>
      <c r="J16" s="107" t="n">
        <f aca="false">'📦 Product Input'!AD18</f>
        <v>12.5</v>
      </c>
      <c r="K16" s="63" t="n">
        <f aca="false">IFERROR(IF(J16=0,"-",J16*B16),"-")</f>
        <v>3500</v>
      </c>
    </row>
    <row r="17" customFormat="false" ht="19.5" hidden="false" customHeight="true" outlineLevel="0" collapsed="false">
      <c r="A17" s="62" t="str">
        <f aca="false">'📦 Product Input'!A19</f>
        <v>Product 14</v>
      </c>
      <c r="B17" s="64" t="n">
        <f aca="false">'📦 Product Input'!Y19</f>
        <v>420</v>
      </c>
      <c r="C17" s="103" t="n">
        <f aca="false">IFERROR('📦 Product Input'!V19/52,0)</f>
        <v>40</v>
      </c>
      <c r="D17" s="104" t="n">
        <f aca="false">'📦 Product Input'!Z19</f>
        <v>3</v>
      </c>
      <c r="E17" s="104" t="n">
        <f aca="false">'📦 Product Input'!AA19</f>
        <v>2</v>
      </c>
      <c r="F17" s="105" t="n">
        <f aca="false">IFERROR(ROUND(C17*(D17+E17),0),0)</f>
        <v>200</v>
      </c>
      <c r="G17" s="105" t="n">
        <f aca="false">IFERROR(MAX(0,F17-B17),0)</f>
        <v>0</v>
      </c>
      <c r="H17" s="106" t="n">
        <f aca="false">IFERROR(B17/MAX(0.01,C17),0)</f>
        <v>10.5</v>
      </c>
      <c r="I17" s="91" t="str">
        <f aca="false">IFERROR(IF(B17="","-",IF(B17=0,"⚠ OUT OF STOCK",IF(H17&lt;E17,"⚠ LOW STOCK",IF(G17&gt;0,"Order Needed","✓ OK")))),"-")</f>
        <v>✓ OK</v>
      </c>
      <c r="J17" s="107" t="n">
        <f aca="false">'📦 Product Input'!AD19</f>
        <v>8.2</v>
      </c>
      <c r="K17" s="63" t="n">
        <f aca="false">IFERROR(IF(J17=0,"-",J17*B17),"-")</f>
        <v>3444</v>
      </c>
    </row>
    <row r="18" customFormat="false" ht="19.5" hidden="false" customHeight="true" outlineLevel="0" collapsed="false">
      <c r="A18" s="62" t="str">
        <f aca="false">'📦 Product Input'!A20</f>
        <v>Product 15</v>
      </c>
      <c r="B18" s="64" t="n">
        <f aca="false">'📦 Product Input'!Y20</f>
        <v>60</v>
      </c>
      <c r="C18" s="103" t="n">
        <f aca="false">IFERROR('📦 Product Input'!V20/52,0)</f>
        <v>10.5961538461538</v>
      </c>
      <c r="D18" s="104" t="n">
        <f aca="false">'📦 Product Input'!Z20</f>
        <v>7</v>
      </c>
      <c r="E18" s="104" t="n">
        <f aca="false">'📦 Product Input'!AA20</f>
        <v>4</v>
      </c>
      <c r="F18" s="105" t="n">
        <f aca="false">IFERROR(ROUND(C18*(D18+E18),0),0)</f>
        <v>117</v>
      </c>
      <c r="G18" s="105" t="n">
        <f aca="false">IFERROR(MAX(0,F18-B18),0)</f>
        <v>57</v>
      </c>
      <c r="H18" s="106" t="n">
        <f aca="false">IFERROR(B18/MAX(0.01,C18),0)</f>
        <v>5.66243194192377</v>
      </c>
      <c r="I18" s="91" t="str">
        <f aca="false">IFERROR(IF(B18="","-",IF(B18=0,"⚠ OUT OF STOCK",IF(H18&lt;E18,"⚠ LOW STOCK",IF(G18&gt;0,"Order Needed","✓ OK")))),"-")</f>
        <v>Order Needed</v>
      </c>
      <c r="J18" s="107" t="n">
        <f aca="false">'📦 Product Input'!AD20</f>
        <v>76</v>
      </c>
      <c r="K18" s="63" t="n">
        <f aca="false">IFERROR(IF(J18=0,"-",J18*B18),"-")</f>
        <v>4560</v>
      </c>
    </row>
    <row r="19" customFormat="false" ht="19.5" hidden="false" customHeight="true" outlineLevel="0" collapsed="false">
      <c r="A19" s="62" t="str">
        <f aca="false">'📦 Product Input'!A21</f>
        <v>Product 16</v>
      </c>
      <c r="B19" s="64" t="n">
        <f aca="false">'📦 Product Input'!Y21</f>
        <v>0</v>
      </c>
      <c r="C19" s="103" t="n">
        <f aca="false">IFERROR('📦 Product Input'!V21/52,0)</f>
        <v>23.3269230769231</v>
      </c>
      <c r="D19" s="104" t="n">
        <f aca="false">'📦 Product Input'!Z21</f>
        <v>4</v>
      </c>
      <c r="E19" s="104" t="n">
        <f aca="false">'📦 Product Input'!AA21</f>
        <v>2</v>
      </c>
      <c r="F19" s="105" t="n">
        <f aca="false">IFERROR(ROUND(C19*(D19+E19),0),0)</f>
        <v>140</v>
      </c>
      <c r="G19" s="105" t="n">
        <f aca="false">IFERROR(MAX(0,F19-B19),0)</f>
        <v>140</v>
      </c>
      <c r="H19" s="106" t="n">
        <f aca="false">IFERROR(B19/MAX(0.01,C19),0)</f>
        <v>0</v>
      </c>
      <c r="I19" s="91" t="str">
        <f aca="false">IFERROR(IF(B19="","-",IF(B19=0,"⚠ OUT OF STOCK",IF(H19&lt;E19,"⚠ LOW STOCK",IF(G19&gt;0,"Order Needed","✓ OK")))),"-")</f>
        <v>-</v>
      </c>
      <c r="J19" s="107" t="n">
        <f aca="false">'📦 Product Input'!AD21</f>
        <v>0</v>
      </c>
      <c r="K19" s="63" t="str">
        <f aca="false">IFERROR(IF(J19=0,"-",J19*B19),"-")</f>
        <v>-</v>
      </c>
    </row>
    <row r="20" customFormat="false" ht="19.5" hidden="false" customHeight="true" outlineLevel="0" collapsed="false">
      <c r="A20" s="62" t="str">
        <f aca="false">'📦 Product Input'!A22</f>
        <v>Product 17</v>
      </c>
      <c r="B20" s="64" t="n">
        <f aca="false">'📦 Product Input'!Y22</f>
        <v>0</v>
      </c>
      <c r="C20" s="103" t="n">
        <f aca="false">IFERROR('📦 Product Input'!V22/52,0)</f>
        <v>23.3269230769231</v>
      </c>
      <c r="D20" s="104" t="n">
        <f aca="false">'📦 Product Input'!Z22</f>
        <v>4</v>
      </c>
      <c r="E20" s="104" t="n">
        <f aca="false">'📦 Product Input'!AA22</f>
        <v>2</v>
      </c>
      <c r="F20" s="105" t="n">
        <f aca="false">IFERROR(ROUND(C20*(D20+E20),0),0)</f>
        <v>140</v>
      </c>
      <c r="G20" s="105" t="n">
        <f aca="false">IFERROR(MAX(0,F20-B20),0)</f>
        <v>140</v>
      </c>
      <c r="H20" s="106" t="n">
        <f aca="false">IFERROR(B20/MAX(0.01,C20),0)</f>
        <v>0</v>
      </c>
      <c r="I20" s="91" t="str">
        <f aca="false">IFERROR(IF(B20="","-",IF(B20=0,"⚠ OUT OF STOCK",IF(H20&lt;E20,"⚠ LOW STOCK",IF(G20&gt;0,"Order Needed","✓ OK")))),"-")</f>
        <v>-</v>
      </c>
      <c r="J20" s="107" t="n">
        <f aca="false">'📦 Product Input'!AD22</f>
        <v>0</v>
      </c>
      <c r="K20" s="63" t="str">
        <f aca="false">IFERROR(IF(J20=0,"-",J20*B20),"-")</f>
        <v>-</v>
      </c>
    </row>
    <row r="21" customFormat="false" ht="19.5" hidden="false" customHeight="true" outlineLevel="0" collapsed="false">
      <c r="A21" s="62" t="str">
        <f aca="false">'📦 Product Input'!A23</f>
        <v>Product 18</v>
      </c>
      <c r="B21" s="64" t="n">
        <f aca="false">'📦 Product Input'!Y23</f>
        <v>0</v>
      </c>
      <c r="C21" s="103" t="n">
        <f aca="false">IFERROR('📦 Product Input'!V23/52,0)</f>
        <v>23.3269230769231</v>
      </c>
      <c r="D21" s="104" t="n">
        <f aca="false">'📦 Product Input'!Z23</f>
        <v>4</v>
      </c>
      <c r="E21" s="104" t="n">
        <f aca="false">'📦 Product Input'!AA23</f>
        <v>2</v>
      </c>
      <c r="F21" s="105" t="n">
        <f aca="false">IFERROR(ROUND(C21*(D21+E21),0),0)</f>
        <v>140</v>
      </c>
      <c r="G21" s="105" t="n">
        <f aca="false">IFERROR(MAX(0,F21-B21),0)</f>
        <v>140</v>
      </c>
      <c r="H21" s="106" t="n">
        <f aca="false">IFERROR(B21/MAX(0.01,C21),0)</f>
        <v>0</v>
      </c>
      <c r="I21" s="91" t="str">
        <f aca="false">IFERROR(IF(B21="","-",IF(B21=0,"⚠ OUT OF STOCK",IF(H21&lt;E21,"⚠ LOW STOCK",IF(G21&gt;0,"Order Needed","✓ OK")))),"-")</f>
        <v>-</v>
      </c>
      <c r="J21" s="107" t="n">
        <f aca="false">'📦 Product Input'!AD23</f>
        <v>0</v>
      </c>
      <c r="K21" s="63" t="str">
        <f aca="false">IFERROR(IF(J21=0,"-",J21*B21),"-")</f>
        <v>-</v>
      </c>
    </row>
    <row r="22" customFormat="false" ht="19.5" hidden="false" customHeight="true" outlineLevel="0" collapsed="false">
      <c r="A22" s="62" t="str">
        <f aca="false">'📦 Product Input'!A24</f>
        <v>Product 19</v>
      </c>
      <c r="B22" s="64" t="n">
        <f aca="false">'📦 Product Input'!Y24</f>
        <v>0</v>
      </c>
      <c r="C22" s="103" t="n">
        <f aca="false">IFERROR('📦 Product Input'!V24/52,0)</f>
        <v>23.3269230769231</v>
      </c>
      <c r="D22" s="104" t="n">
        <f aca="false">'📦 Product Input'!Z24</f>
        <v>4</v>
      </c>
      <c r="E22" s="104" t="n">
        <f aca="false">'📦 Product Input'!AA24</f>
        <v>2</v>
      </c>
      <c r="F22" s="105" t="n">
        <f aca="false">IFERROR(ROUND(C22*(D22+E22),0),0)</f>
        <v>140</v>
      </c>
      <c r="G22" s="105" t="n">
        <f aca="false">IFERROR(MAX(0,F22-B22),0)</f>
        <v>140</v>
      </c>
      <c r="H22" s="106" t="n">
        <f aca="false">IFERROR(B22/MAX(0.01,C22),0)</f>
        <v>0</v>
      </c>
      <c r="I22" s="91" t="str">
        <f aca="false">IFERROR(IF(B22="","-",IF(B22=0,"⚠ OUT OF STOCK",IF(H22&lt;E22,"⚠ LOW STOCK",IF(G22&gt;0,"Order Needed","✓ OK")))),"-")</f>
        <v>-</v>
      </c>
      <c r="J22" s="107" t="n">
        <f aca="false">'📦 Product Input'!AD24</f>
        <v>0</v>
      </c>
      <c r="K22" s="63" t="str">
        <f aca="false">IFERROR(IF(J22=0,"-",J22*B22),"-")</f>
        <v>-</v>
      </c>
    </row>
    <row r="23" customFormat="false" ht="19.5" hidden="false" customHeight="true" outlineLevel="0" collapsed="false">
      <c r="A23" s="62" t="str">
        <f aca="false">'📦 Product Input'!A25</f>
        <v>Product 20</v>
      </c>
      <c r="B23" s="64" t="n">
        <f aca="false">'📦 Product Input'!Y25</f>
        <v>0</v>
      </c>
      <c r="C23" s="103" t="n">
        <f aca="false">IFERROR('📦 Product Input'!V25/52,0)</f>
        <v>23.3269230769231</v>
      </c>
      <c r="D23" s="104" t="n">
        <f aca="false">'📦 Product Input'!Z25</f>
        <v>4</v>
      </c>
      <c r="E23" s="104" t="n">
        <f aca="false">'📦 Product Input'!AA25</f>
        <v>2</v>
      </c>
      <c r="F23" s="105" t="n">
        <f aca="false">IFERROR(ROUND(C23*(D23+E23),0),0)</f>
        <v>140</v>
      </c>
      <c r="G23" s="105" t="n">
        <f aca="false">IFERROR(MAX(0,F23-B23),0)</f>
        <v>140</v>
      </c>
      <c r="H23" s="106" t="n">
        <f aca="false">IFERROR(B23/MAX(0.01,C23),0)</f>
        <v>0</v>
      </c>
      <c r="I23" s="91" t="str">
        <f aca="false">IFERROR(IF(B23="","-",IF(B23=0,"⚠ OUT OF STOCK",IF(H23&lt;E23,"⚠ LOW STOCK",IF(G23&gt;0,"Order Needed","✓ OK")))),"-")</f>
        <v>-</v>
      </c>
      <c r="J23" s="107" t="n">
        <f aca="false">'📦 Product Input'!AD25</f>
        <v>0</v>
      </c>
      <c r="K23" s="63" t="str">
        <f aca="false">IFERROR(IF(J23=0,"-",J23*B23),"-")</f>
        <v>-</v>
      </c>
    </row>
    <row r="24" customFormat="false" ht="19.5" hidden="false" customHeight="true" outlineLevel="0" collapsed="false">
      <c r="A24" s="62" t="str">
        <f aca="false">'📦 Product Input'!A26</f>
        <v>Product 21</v>
      </c>
      <c r="B24" s="64" t="n">
        <f aca="false">'📦 Product Input'!Y26</f>
        <v>0</v>
      </c>
      <c r="C24" s="103" t="n">
        <f aca="false">IFERROR('📦 Product Input'!V26/52,0)</f>
        <v>23.3269230769231</v>
      </c>
      <c r="D24" s="104" t="n">
        <f aca="false">'📦 Product Input'!Z26</f>
        <v>4</v>
      </c>
      <c r="E24" s="104" t="n">
        <f aca="false">'📦 Product Input'!AA26</f>
        <v>2</v>
      </c>
      <c r="F24" s="105" t="n">
        <f aca="false">IFERROR(ROUND(C24*(D24+E24),0),0)</f>
        <v>140</v>
      </c>
      <c r="G24" s="105" t="n">
        <f aca="false">IFERROR(MAX(0,F24-B24),0)</f>
        <v>140</v>
      </c>
      <c r="H24" s="106" t="n">
        <f aca="false">IFERROR(B24/MAX(0.01,C24),0)</f>
        <v>0</v>
      </c>
      <c r="I24" s="91" t="str">
        <f aca="false">IFERROR(IF(B24="","-",IF(B24=0,"⚠ OUT OF STOCK",IF(H24&lt;E24,"⚠ LOW STOCK",IF(G24&gt;0,"Order Needed","✓ OK")))),"-")</f>
        <v>-</v>
      </c>
      <c r="J24" s="107" t="n">
        <f aca="false">'📦 Product Input'!AD26</f>
        <v>0</v>
      </c>
      <c r="K24" s="63" t="str">
        <f aca="false">IFERROR(IF(J24=0,"-",J24*B24),"-")</f>
        <v>-</v>
      </c>
    </row>
    <row r="25" customFormat="false" ht="19.5" hidden="false" customHeight="true" outlineLevel="0" collapsed="false">
      <c r="A25" s="62" t="str">
        <f aca="false">'📦 Product Input'!A27</f>
        <v>Product 22</v>
      </c>
      <c r="B25" s="64" t="n">
        <f aca="false">'📦 Product Input'!Y27</f>
        <v>0</v>
      </c>
      <c r="C25" s="103" t="n">
        <f aca="false">IFERROR('📦 Product Input'!V27/52,0)</f>
        <v>23.3269230769231</v>
      </c>
      <c r="D25" s="104" t="n">
        <f aca="false">'📦 Product Input'!Z27</f>
        <v>4</v>
      </c>
      <c r="E25" s="104" t="n">
        <f aca="false">'📦 Product Input'!AA27</f>
        <v>2</v>
      </c>
      <c r="F25" s="105" t="n">
        <f aca="false">IFERROR(ROUND(C25*(D25+E25),0),0)</f>
        <v>140</v>
      </c>
      <c r="G25" s="105" t="n">
        <f aca="false">IFERROR(MAX(0,F25-B25),0)</f>
        <v>140</v>
      </c>
      <c r="H25" s="106" t="n">
        <f aca="false">IFERROR(B25/MAX(0.01,C25),0)</f>
        <v>0</v>
      </c>
      <c r="I25" s="91" t="str">
        <f aca="false">IFERROR(IF(B25="","-",IF(B25=0,"⚠ OUT OF STOCK",IF(H25&lt;E25,"⚠ LOW STOCK",IF(G25&gt;0,"Order Needed","✓ OK")))),"-")</f>
        <v>-</v>
      </c>
      <c r="J25" s="107" t="n">
        <f aca="false">'📦 Product Input'!AD27</f>
        <v>0</v>
      </c>
      <c r="K25" s="63" t="str">
        <f aca="false">IFERROR(IF(J25=0,"-",J25*B25),"-")</f>
        <v>-</v>
      </c>
    </row>
    <row r="26" customFormat="false" ht="19.5" hidden="false" customHeight="true" outlineLevel="0" collapsed="false">
      <c r="A26" s="62" t="str">
        <f aca="false">'📦 Product Input'!A28</f>
        <v>Product 23</v>
      </c>
      <c r="B26" s="64" t="n">
        <f aca="false">'📦 Product Input'!Y28</f>
        <v>0</v>
      </c>
      <c r="C26" s="103" t="n">
        <f aca="false">IFERROR('📦 Product Input'!V28/52,0)</f>
        <v>23.3269230769231</v>
      </c>
      <c r="D26" s="104" t="n">
        <f aca="false">'📦 Product Input'!Z28</f>
        <v>4</v>
      </c>
      <c r="E26" s="104" t="n">
        <f aca="false">'📦 Product Input'!AA28</f>
        <v>2</v>
      </c>
      <c r="F26" s="105" t="n">
        <f aca="false">IFERROR(ROUND(C26*(D26+E26),0),0)</f>
        <v>140</v>
      </c>
      <c r="G26" s="105" t="n">
        <f aca="false">IFERROR(MAX(0,F26-B26),0)</f>
        <v>140</v>
      </c>
      <c r="H26" s="106" t="n">
        <f aca="false">IFERROR(B26/MAX(0.01,C26),0)</f>
        <v>0</v>
      </c>
      <c r="I26" s="91" t="str">
        <f aca="false">IFERROR(IF(B26="","-",IF(B26=0,"⚠ OUT OF STOCK",IF(H26&lt;E26,"⚠ LOW STOCK",IF(G26&gt;0,"Order Needed","✓ OK")))),"-")</f>
        <v>-</v>
      </c>
      <c r="J26" s="107" t="n">
        <f aca="false">'📦 Product Input'!AD28</f>
        <v>0</v>
      </c>
      <c r="K26" s="63" t="str">
        <f aca="false">IFERROR(IF(J26=0,"-",J26*B26),"-")</f>
        <v>-</v>
      </c>
    </row>
    <row r="27" customFormat="false" ht="19.5" hidden="false" customHeight="true" outlineLevel="0" collapsed="false">
      <c r="A27" s="62" t="str">
        <f aca="false">'📦 Product Input'!A29</f>
        <v>Product 24</v>
      </c>
      <c r="B27" s="64" t="n">
        <f aca="false">'📦 Product Input'!Y29</f>
        <v>0</v>
      </c>
      <c r="C27" s="103" t="n">
        <f aca="false">IFERROR('📦 Product Input'!V29/52,0)</f>
        <v>23.3269230769231</v>
      </c>
      <c r="D27" s="104" t="n">
        <f aca="false">'📦 Product Input'!Z29</f>
        <v>4</v>
      </c>
      <c r="E27" s="104" t="n">
        <f aca="false">'📦 Product Input'!AA29</f>
        <v>2</v>
      </c>
      <c r="F27" s="105" t="n">
        <f aca="false">IFERROR(ROUND(C27*(D27+E27),0),0)</f>
        <v>140</v>
      </c>
      <c r="G27" s="105" t="n">
        <f aca="false">IFERROR(MAX(0,F27-B27),0)</f>
        <v>140</v>
      </c>
      <c r="H27" s="106" t="n">
        <f aca="false">IFERROR(B27/MAX(0.01,C27),0)</f>
        <v>0</v>
      </c>
      <c r="I27" s="91" t="str">
        <f aca="false">IFERROR(IF(B27="","-",IF(B27=0,"⚠ OUT OF STOCK",IF(H27&lt;E27,"⚠ LOW STOCK",IF(G27&gt;0,"Order Needed","✓ OK")))),"-")</f>
        <v>-</v>
      </c>
      <c r="J27" s="107" t="n">
        <f aca="false">'📦 Product Input'!AD29</f>
        <v>0</v>
      </c>
      <c r="K27" s="63" t="str">
        <f aca="false">IFERROR(IF(J27=0,"-",J27*B27),"-")</f>
        <v>-</v>
      </c>
    </row>
    <row r="28" customFormat="false" ht="19.5" hidden="false" customHeight="true" outlineLevel="0" collapsed="false">
      <c r="A28" s="62" t="str">
        <f aca="false">'📦 Product Input'!A30</f>
        <v>Product 25</v>
      </c>
      <c r="B28" s="64" t="n">
        <f aca="false">'📦 Product Input'!Y30</f>
        <v>0</v>
      </c>
      <c r="C28" s="103" t="n">
        <f aca="false">IFERROR('📦 Product Input'!V30/52,0)</f>
        <v>23.3269230769231</v>
      </c>
      <c r="D28" s="104" t="n">
        <f aca="false">'📦 Product Input'!Z30</f>
        <v>4</v>
      </c>
      <c r="E28" s="104" t="n">
        <f aca="false">'📦 Product Input'!AA30</f>
        <v>2</v>
      </c>
      <c r="F28" s="105" t="n">
        <f aca="false">IFERROR(ROUND(C28*(D28+E28),0),0)</f>
        <v>140</v>
      </c>
      <c r="G28" s="105" t="n">
        <f aca="false">IFERROR(MAX(0,F28-B28),0)</f>
        <v>140</v>
      </c>
      <c r="H28" s="106" t="n">
        <f aca="false">IFERROR(B28/MAX(0.01,C28),0)</f>
        <v>0</v>
      </c>
      <c r="I28" s="91" t="str">
        <f aca="false">IFERROR(IF(B28="","-",IF(B28=0,"⚠ OUT OF STOCK",IF(H28&lt;E28,"⚠ LOW STOCK",IF(G28&gt;0,"Order Needed","✓ OK")))),"-")</f>
        <v>-</v>
      </c>
      <c r="J28" s="107" t="n">
        <f aca="false">'📦 Product Input'!AD30</f>
        <v>0</v>
      </c>
      <c r="K28" s="63" t="str">
        <f aca="false">IFERROR(IF(J28=0,"-",J28*B28),"-")</f>
        <v>-</v>
      </c>
    </row>
    <row r="29" customFormat="false" ht="19.5" hidden="false" customHeight="true" outlineLevel="0" collapsed="false">
      <c r="A29" s="62" t="str">
        <f aca="false">'📦 Product Input'!A31</f>
        <v>Product 26</v>
      </c>
      <c r="B29" s="64" t="n">
        <f aca="false">'📦 Product Input'!Y31</f>
        <v>0</v>
      </c>
      <c r="C29" s="103" t="n">
        <f aca="false">IFERROR('📦 Product Input'!V31/52,0)</f>
        <v>23.3269230769231</v>
      </c>
      <c r="D29" s="104" t="n">
        <f aca="false">'📦 Product Input'!Z31</f>
        <v>4</v>
      </c>
      <c r="E29" s="104" t="n">
        <f aca="false">'📦 Product Input'!AA31</f>
        <v>2</v>
      </c>
      <c r="F29" s="105" t="n">
        <f aca="false">IFERROR(ROUND(C29*(D29+E29),0),0)</f>
        <v>140</v>
      </c>
      <c r="G29" s="105" t="n">
        <f aca="false">IFERROR(MAX(0,F29-B29),0)</f>
        <v>140</v>
      </c>
      <c r="H29" s="106" t="n">
        <f aca="false">IFERROR(B29/MAX(0.01,C29),0)</f>
        <v>0</v>
      </c>
      <c r="I29" s="91" t="str">
        <f aca="false">IFERROR(IF(B29="","-",IF(B29=0,"⚠ OUT OF STOCK",IF(H29&lt;E29,"⚠ LOW STOCK",IF(G29&gt;0,"Order Needed","✓ OK")))),"-")</f>
        <v>-</v>
      </c>
      <c r="J29" s="107" t="n">
        <f aca="false">'📦 Product Input'!AD31</f>
        <v>0</v>
      </c>
      <c r="K29" s="63" t="str">
        <f aca="false">IFERROR(IF(J29=0,"-",J29*B29),"-")</f>
        <v>-</v>
      </c>
    </row>
    <row r="30" customFormat="false" ht="19.5" hidden="false" customHeight="true" outlineLevel="0" collapsed="false">
      <c r="A30" s="62" t="str">
        <f aca="false">'📦 Product Input'!A32</f>
        <v>Product 27</v>
      </c>
      <c r="B30" s="64" t="n">
        <f aca="false">'📦 Product Input'!Y32</f>
        <v>0</v>
      </c>
      <c r="C30" s="103" t="n">
        <f aca="false">IFERROR('📦 Product Input'!V32/52,0)</f>
        <v>23.3269230769231</v>
      </c>
      <c r="D30" s="104" t="n">
        <f aca="false">'📦 Product Input'!Z32</f>
        <v>4</v>
      </c>
      <c r="E30" s="104" t="n">
        <f aca="false">'📦 Product Input'!AA32</f>
        <v>2</v>
      </c>
      <c r="F30" s="105" t="n">
        <f aca="false">IFERROR(ROUND(C30*(D30+E30),0),0)</f>
        <v>140</v>
      </c>
      <c r="G30" s="105" t="n">
        <f aca="false">IFERROR(MAX(0,F30-B30),0)</f>
        <v>140</v>
      </c>
      <c r="H30" s="106" t="n">
        <f aca="false">IFERROR(B30/MAX(0.01,C30),0)</f>
        <v>0</v>
      </c>
      <c r="I30" s="91" t="str">
        <f aca="false">IFERROR(IF(B30="","-",IF(B30=0,"⚠ OUT OF STOCK",IF(H30&lt;E30,"⚠ LOW STOCK",IF(G30&gt;0,"Order Needed","✓ OK")))),"-")</f>
        <v>-</v>
      </c>
      <c r="J30" s="107" t="n">
        <f aca="false">'📦 Product Input'!AD32</f>
        <v>0</v>
      </c>
      <c r="K30" s="63" t="str">
        <f aca="false">IFERROR(IF(J30=0,"-",J30*B30),"-")</f>
        <v>-</v>
      </c>
    </row>
    <row r="31" customFormat="false" ht="19.5" hidden="false" customHeight="true" outlineLevel="0" collapsed="false">
      <c r="A31" s="62" t="str">
        <f aca="false">'📦 Product Input'!A33</f>
        <v>Product 28</v>
      </c>
      <c r="B31" s="64" t="n">
        <f aca="false">'📦 Product Input'!Y33</f>
        <v>0</v>
      </c>
      <c r="C31" s="103" t="n">
        <f aca="false">IFERROR('📦 Product Input'!V33/52,0)</f>
        <v>23.3269230769231</v>
      </c>
      <c r="D31" s="104" t="n">
        <f aca="false">'📦 Product Input'!Z33</f>
        <v>4</v>
      </c>
      <c r="E31" s="104" t="n">
        <f aca="false">'📦 Product Input'!AA33</f>
        <v>2</v>
      </c>
      <c r="F31" s="105" t="n">
        <f aca="false">IFERROR(ROUND(C31*(D31+E31),0),0)</f>
        <v>140</v>
      </c>
      <c r="G31" s="105" t="n">
        <f aca="false">IFERROR(MAX(0,F31-B31),0)</f>
        <v>140</v>
      </c>
      <c r="H31" s="106" t="n">
        <f aca="false">IFERROR(B31/MAX(0.01,C31),0)</f>
        <v>0</v>
      </c>
      <c r="I31" s="91" t="str">
        <f aca="false">IFERROR(IF(B31="","-",IF(B31=0,"⚠ OUT OF STOCK",IF(H31&lt;E31,"⚠ LOW STOCK",IF(G31&gt;0,"Order Needed","✓ OK")))),"-")</f>
        <v>-</v>
      </c>
      <c r="J31" s="107" t="n">
        <f aca="false">'📦 Product Input'!AD33</f>
        <v>0</v>
      </c>
      <c r="K31" s="63" t="str">
        <f aca="false">IFERROR(IF(J31=0,"-",J31*B31),"-")</f>
        <v>-</v>
      </c>
    </row>
    <row r="32" customFormat="false" ht="19.5" hidden="false" customHeight="true" outlineLevel="0" collapsed="false">
      <c r="A32" s="62" t="str">
        <f aca="false">'📦 Product Input'!A34</f>
        <v>Product 29</v>
      </c>
      <c r="B32" s="64" t="n">
        <f aca="false">'📦 Product Input'!Y34</f>
        <v>0</v>
      </c>
      <c r="C32" s="103" t="n">
        <f aca="false">IFERROR('📦 Product Input'!V34/52,0)</f>
        <v>23.3269230769231</v>
      </c>
      <c r="D32" s="104" t="n">
        <f aca="false">'📦 Product Input'!Z34</f>
        <v>4</v>
      </c>
      <c r="E32" s="104" t="n">
        <f aca="false">'📦 Product Input'!AA34</f>
        <v>2</v>
      </c>
      <c r="F32" s="105" t="n">
        <f aca="false">IFERROR(ROUND(C32*(D32+E32),0),0)</f>
        <v>140</v>
      </c>
      <c r="G32" s="105" t="n">
        <f aca="false">IFERROR(MAX(0,F32-B32),0)</f>
        <v>140</v>
      </c>
      <c r="H32" s="106" t="n">
        <f aca="false">IFERROR(B32/MAX(0.01,C32),0)</f>
        <v>0</v>
      </c>
      <c r="I32" s="91" t="str">
        <f aca="false">IFERROR(IF(B32="","-",IF(B32=0,"⚠ OUT OF STOCK",IF(H32&lt;E32,"⚠ LOW STOCK",IF(G32&gt;0,"Order Needed","✓ OK")))),"-")</f>
        <v>-</v>
      </c>
      <c r="J32" s="107" t="n">
        <f aca="false">'📦 Product Input'!AD34</f>
        <v>0</v>
      </c>
      <c r="K32" s="63" t="str">
        <f aca="false">IFERROR(IF(J32=0,"-",J32*B32),"-")</f>
        <v>-</v>
      </c>
    </row>
    <row r="33" customFormat="false" ht="19.5" hidden="false" customHeight="true" outlineLevel="0" collapsed="false">
      <c r="A33" s="62" t="str">
        <f aca="false">'📦 Product Input'!A35</f>
        <v>Product 30</v>
      </c>
      <c r="B33" s="64" t="n">
        <f aca="false">'📦 Product Input'!Y35</f>
        <v>0</v>
      </c>
      <c r="C33" s="103" t="n">
        <f aca="false">IFERROR('📦 Product Input'!V35/52,0)</f>
        <v>23.3269230769231</v>
      </c>
      <c r="D33" s="104" t="n">
        <f aca="false">'📦 Product Input'!Z35</f>
        <v>4</v>
      </c>
      <c r="E33" s="104" t="n">
        <f aca="false">'📦 Product Input'!AA35</f>
        <v>2</v>
      </c>
      <c r="F33" s="105" t="n">
        <f aca="false">IFERROR(ROUND(C33*(D33+E33),0),0)</f>
        <v>140</v>
      </c>
      <c r="G33" s="105" t="n">
        <f aca="false">IFERROR(MAX(0,F33-B33),0)</f>
        <v>140</v>
      </c>
      <c r="H33" s="106" t="n">
        <f aca="false">IFERROR(B33/MAX(0.01,C33),0)</f>
        <v>0</v>
      </c>
      <c r="I33" s="91" t="str">
        <f aca="false">IFERROR(IF(B33="","-",IF(B33=0,"⚠ OUT OF STOCK",IF(H33&lt;E33,"⚠ LOW STOCK",IF(G33&gt;0,"Order Needed","✓ OK")))),"-")</f>
        <v>-</v>
      </c>
      <c r="J33" s="107" t="n">
        <f aca="false">'📦 Product Input'!AD35</f>
        <v>0</v>
      </c>
      <c r="K33" s="63" t="str">
        <f aca="false">IFERROR(IF(J33=0,"-",J33*B33),"-")</f>
        <v>-</v>
      </c>
    </row>
    <row r="34" customFormat="false" ht="19.5" hidden="false" customHeight="true" outlineLevel="0" collapsed="false">
      <c r="A34" s="62" t="str">
        <f aca="false">'📦 Product Input'!A36</f>
        <v>Product 31</v>
      </c>
      <c r="B34" s="64" t="n">
        <f aca="false">'📦 Product Input'!Y36</f>
        <v>0</v>
      </c>
      <c r="C34" s="103" t="n">
        <f aca="false">IFERROR('📦 Product Input'!V36/52,0)</f>
        <v>23.3269230769231</v>
      </c>
      <c r="D34" s="104" t="n">
        <f aca="false">'📦 Product Input'!Z36</f>
        <v>4</v>
      </c>
      <c r="E34" s="104" t="n">
        <f aca="false">'📦 Product Input'!AA36</f>
        <v>2</v>
      </c>
      <c r="F34" s="105" t="n">
        <f aca="false">IFERROR(ROUND(C34*(D34+E34),0),0)</f>
        <v>140</v>
      </c>
      <c r="G34" s="105" t="n">
        <f aca="false">IFERROR(MAX(0,F34-B34),0)</f>
        <v>140</v>
      </c>
      <c r="H34" s="106" t="n">
        <f aca="false">IFERROR(B34/MAX(0.01,C34),0)</f>
        <v>0</v>
      </c>
      <c r="I34" s="91" t="str">
        <f aca="false">IFERROR(IF(B34="","-",IF(B34=0,"⚠ OUT OF STOCK",IF(H34&lt;E34,"⚠ LOW STOCK",IF(G34&gt;0,"Order Needed","✓ OK")))),"-")</f>
        <v>-</v>
      </c>
      <c r="J34" s="107" t="n">
        <f aca="false">'📦 Product Input'!AD36</f>
        <v>0</v>
      </c>
      <c r="K34" s="63" t="str">
        <f aca="false">IFERROR(IF(J34=0,"-",J34*B34),"-")</f>
        <v>-</v>
      </c>
    </row>
    <row r="35" customFormat="false" ht="19.5" hidden="false" customHeight="true" outlineLevel="0" collapsed="false">
      <c r="A35" s="62" t="str">
        <f aca="false">'📦 Product Input'!A37</f>
        <v>Product 32</v>
      </c>
      <c r="B35" s="64" t="n">
        <f aca="false">'📦 Product Input'!Y37</f>
        <v>0</v>
      </c>
      <c r="C35" s="103" t="n">
        <f aca="false">IFERROR('📦 Product Input'!V37/52,0)</f>
        <v>23.3269230769231</v>
      </c>
      <c r="D35" s="104" t="n">
        <f aca="false">'📦 Product Input'!Z37</f>
        <v>4</v>
      </c>
      <c r="E35" s="104" t="n">
        <f aca="false">'📦 Product Input'!AA37</f>
        <v>2</v>
      </c>
      <c r="F35" s="105" t="n">
        <f aca="false">IFERROR(ROUND(C35*(D35+E35),0),0)</f>
        <v>140</v>
      </c>
      <c r="G35" s="105" t="n">
        <f aca="false">IFERROR(MAX(0,F35-B35),0)</f>
        <v>140</v>
      </c>
      <c r="H35" s="106" t="n">
        <f aca="false">IFERROR(B35/MAX(0.01,C35),0)</f>
        <v>0</v>
      </c>
      <c r="I35" s="91" t="str">
        <f aca="false">IFERROR(IF(B35="","-",IF(B35=0,"⚠ OUT OF STOCK",IF(H35&lt;E35,"⚠ LOW STOCK",IF(G35&gt;0,"Order Needed","✓ OK")))),"-")</f>
        <v>-</v>
      </c>
      <c r="J35" s="107" t="n">
        <f aca="false">'📦 Product Input'!AD37</f>
        <v>0</v>
      </c>
      <c r="K35" s="63" t="str">
        <f aca="false">IFERROR(IF(J35=0,"-",J35*B35),"-")</f>
        <v>-</v>
      </c>
    </row>
    <row r="36" customFormat="false" ht="19.5" hidden="false" customHeight="true" outlineLevel="0" collapsed="false">
      <c r="A36" s="62" t="str">
        <f aca="false">'📦 Product Input'!A38</f>
        <v>Product 33</v>
      </c>
      <c r="B36" s="64" t="n">
        <f aca="false">'📦 Product Input'!Y38</f>
        <v>0</v>
      </c>
      <c r="C36" s="103" t="n">
        <f aca="false">IFERROR('📦 Product Input'!V38/52,0)</f>
        <v>23.3269230769231</v>
      </c>
      <c r="D36" s="104" t="n">
        <f aca="false">'📦 Product Input'!Z38</f>
        <v>4</v>
      </c>
      <c r="E36" s="104" t="n">
        <f aca="false">'📦 Product Input'!AA38</f>
        <v>2</v>
      </c>
      <c r="F36" s="105" t="n">
        <f aca="false">IFERROR(ROUND(C36*(D36+E36),0),0)</f>
        <v>140</v>
      </c>
      <c r="G36" s="105" t="n">
        <f aca="false">IFERROR(MAX(0,F36-B36),0)</f>
        <v>140</v>
      </c>
      <c r="H36" s="106" t="n">
        <f aca="false">IFERROR(B36/MAX(0.01,C36),0)</f>
        <v>0</v>
      </c>
      <c r="I36" s="91" t="str">
        <f aca="false">IFERROR(IF(B36="","-",IF(B36=0,"⚠ OUT OF STOCK",IF(H36&lt;E36,"⚠ LOW STOCK",IF(G36&gt;0,"Order Needed","✓ OK")))),"-")</f>
        <v>-</v>
      </c>
      <c r="J36" s="107" t="n">
        <f aca="false">'📦 Product Input'!AD38</f>
        <v>0</v>
      </c>
      <c r="K36" s="63" t="str">
        <f aca="false">IFERROR(IF(J36=0,"-",J36*B36),"-")</f>
        <v>-</v>
      </c>
    </row>
    <row r="37" customFormat="false" ht="19.5" hidden="false" customHeight="true" outlineLevel="0" collapsed="false">
      <c r="A37" s="62" t="str">
        <f aca="false">'📦 Product Input'!A39</f>
        <v>Product 34</v>
      </c>
      <c r="B37" s="64" t="n">
        <f aca="false">'📦 Product Input'!Y39</f>
        <v>0</v>
      </c>
      <c r="C37" s="103" t="n">
        <f aca="false">IFERROR('📦 Product Input'!V39/52,0)</f>
        <v>23.3269230769231</v>
      </c>
      <c r="D37" s="104" t="n">
        <f aca="false">'📦 Product Input'!Z39</f>
        <v>4</v>
      </c>
      <c r="E37" s="104" t="n">
        <f aca="false">'📦 Product Input'!AA39</f>
        <v>2</v>
      </c>
      <c r="F37" s="105" t="n">
        <f aca="false">IFERROR(ROUND(C37*(D37+E37),0),0)</f>
        <v>140</v>
      </c>
      <c r="G37" s="105" t="n">
        <f aca="false">IFERROR(MAX(0,F37-B37),0)</f>
        <v>140</v>
      </c>
      <c r="H37" s="106" t="n">
        <f aca="false">IFERROR(B37/MAX(0.01,C37),0)</f>
        <v>0</v>
      </c>
      <c r="I37" s="91" t="str">
        <f aca="false">IFERROR(IF(B37="","-",IF(B37=0,"⚠ OUT OF STOCK",IF(H37&lt;E37,"⚠ LOW STOCK",IF(G37&gt;0,"Order Needed","✓ OK")))),"-")</f>
        <v>-</v>
      </c>
      <c r="J37" s="107" t="n">
        <f aca="false">'📦 Product Input'!AD39</f>
        <v>0</v>
      </c>
      <c r="K37" s="63" t="str">
        <f aca="false">IFERROR(IF(J37=0,"-",J37*B37),"-")</f>
        <v>-</v>
      </c>
    </row>
    <row r="38" customFormat="false" ht="19.5" hidden="false" customHeight="true" outlineLevel="0" collapsed="false">
      <c r="A38" s="62" t="str">
        <f aca="false">'📦 Product Input'!A40</f>
        <v>Product 35</v>
      </c>
      <c r="B38" s="64" t="n">
        <f aca="false">'📦 Product Input'!Y40</f>
        <v>0</v>
      </c>
      <c r="C38" s="103" t="n">
        <f aca="false">IFERROR('📦 Product Input'!V40/52,0)</f>
        <v>23.3269230769231</v>
      </c>
      <c r="D38" s="104" t="n">
        <f aca="false">'📦 Product Input'!Z40</f>
        <v>4</v>
      </c>
      <c r="E38" s="104" t="n">
        <f aca="false">'📦 Product Input'!AA40</f>
        <v>2</v>
      </c>
      <c r="F38" s="105" t="n">
        <f aca="false">IFERROR(ROUND(C38*(D38+E38),0),0)</f>
        <v>140</v>
      </c>
      <c r="G38" s="105" t="n">
        <f aca="false">IFERROR(MAX(0,F38-B38),0)</f>
        <v>140</v>
      </c>
      <c r="H38" s="106" t="n">
        <f aca="false">IFERROR(B38/MAX(0.01,C38),0)</f>
        <v>0</v>
      </c>
      <c r="I38" s="91" t="str">
        <f aca="false">IFERROR(IF(B38="","-",IF(B38=0,"⚠ OUT OF STOCK",IF(H38&lt;E38,"⚠ LOW STOCK",IF(G38&gt;0,"Order Needed","✓ OK")))),"-")</f>
        <v>-</v>
      </c>
      <c r="J38" s="107" t="n">
        <f aca="false">'📦 Product Input'!AD40</f>
        <v>0</v>
      </c>
      <c r="K38" s="63" t="str">
        <f aca="false">IFERROR(IF(J38=0,"-",J38*B38),"-")</f>
        <v>-</v>
      </c>
    </row>
    <row r="39" customFormat="false" ht="19.5" hidden="false" customHeight="true" outlineLevel="0" collapsed="false">
      <c r="A39" s="62" t="str">
        <f aca="false">'📦 Product Input'!A41</f>
        <v>Product 36</v>
      </c>
      <c r="B39" s="64" t="n">
        <f aca="false">'📦 Product Input'!Y41</f>
        <v>0</v>
      </c>
      <c r="C39" s="103" t="n">
        <f aca="false">IFERROR('📦 Product Input'!V41/52,0)</f>
        <v>23.3269230769231</v>
      </c>
      <c r="D39" s="104" t="n">
        <f aca="false">'📦 Product Input'!Z41</f>
        <v>4</v>
      </c>
      <c r="E39" s="104" t="n">
        <f aca="false">'📦 Product Input'!AA41</f>
        <v>2</v>
      </c>
      <c r="F39" s="105" t="n">
        <f aca="false">IFERROR(ROUND(C39*(D39+E39),0),0)</f>
        <v>140</v>
      </c>
      <c r="G39" s="105" t="n">
        <f aca="false">IFERROR(MAX(0,F39-B39),0)</f>
        <v>140</v>
      </c>
      <c r="H39" s="106" t="n">
        <f aca="false">IFERROR(B39/MAX(0.01,C39),0)</f>
        <v>0</v>
      </c>
      <c r="I39" s="91" t="str">
        <f aca="false">IFERROR(IF(B39="","-",IF(B39=0,"⚠ OUT OF STOCK",IF(H39&lt;E39,"⚠ LOW STOCK",IF(G39&gt;0,"Order Needed","✓ OK")))),"-")</f>
        <v>-</v>
      </c>
      <c r="J39" s="107" t="n">
        <f aca="false">'📦 Product Input'!AD41</f>
        <v>0</v>
      </c>
      <c r="K39" s="63" t="str">
        <f aca="false">IFERROR(IF(J39=0,"-",J39*B39),"-")</f>
        <v>-</v>
      </c>
    </row>
    <row r="40" customFormat="false" ht="19.5" hidden="false" customHeight="true" outlineLevel="0" collapsed="false">
      <c r="A40" s="62" t="str">
        <f aca="false">'📦 Product Input'!A42</f>
        <v>Product 37</v>
      </c>
      <c r="B40" s="64" t="n">
        <f aca="false">'📦 Product Input'!Y42</f>
        <v>0</v>
      </c>
      <c r="C40" s="103" t="n">
        <f aca="false">IFERROR('📦 Product Input'!V42/52,0)</f>
        <v>23.3269230769231</v>
      </c>
      <c r="D40" s="104" t="n">
        <f aca="false">'📦 Product Input'!Z42</f>
        <v>4</v>
      </c>
      <c r="E40" s="104" t="n">
        <f aca="false">'📦 Product Input'!AA42</f>
        <v>2</v>
      </c>
      <c r="F40" s="105" t="n">
        <f aca="false">IFERROR(ROUND(C40*(D40+E40),0),0)</f>
        <v>140</v>
      </c>
      <c r="G40" s="105" t="n">
        <f aca="false">IFERROR(MAX(0,F40-B40),0)</f>
        <v>140</v>
      </c>
      <c r="H40" s="106" t="n">
        <f aca="false">IFERROR(B40/MAX(0.01,C40),0)</f>
        <v>0</v>
      </c>
      <c r="I40" s="91" t="str">
        <f aca="false">IFERROR(IF(B40="","-",IF(B40=0,"⚠ OUT OF STOCK",IF(H40&lt;E40,"⚠ LOW STOCK",IF(G40&gt;0,"Order Needed","✓ OK")))),"-")</f>
        <v>-</v>
      </c>
      <c r="J40" s="107" t="n">
        <f aca="false">'📦 Product Input'!AD42</f>
        <v>0</v>
      </c>
      <c r="K40" s="63" t="str">
        <f aca="false">IFERROR(IF(J40=0,"-",J40*B40),"-")</f>
        <v>-</v>
      </c>
    </row>
    <row r="41" customFormat="false" ht="19.5" hidden="false" customHeight="true" outlineLevel="0" collapsed="false">
      <c r="A41" s="62" t="str">
        <f aca="false">'📦 Product Input'!A43</f>
        <v>Product 38</v>
      </c>
      <c r="B41" s="64" t="n">
        <f aca="false">'📦 Product Input'!Y43</f>
        <v>0</v>
      </c>
      <c r="C41" s="103" t="n">
        <f aca="false">IFERROR('📦 Product Input'!V43/52,0)</f>
        <v>23.3269230769231</v>
      </c>
      <c r="D41" s="104" t="n">
        <f aca="false">'📦 Product Input'!Z43</f>
        <v>4</v>
      </c>
      <c r="E41" s="104" t="n">
        <f aca="false">'📦 Product Input'!AA43</f>
        <v>2</v>
      </c>
      <c r="F41" s="105" t="n">
        <f aca="false">IFERROR(ROUND(C41*(D41+E41),0),0)</f>
        <v>140</v>
      </c>
      <c r="G41" s="105" t="n">
        <f aca="false">IFERROR(MAX(0,F41-B41),0)</f>
        <v>140</v>
      </c>
      <c r="H41" s="106" t="n">
        <f aca="false">IFERROR(B41/MAX(0.01,C41),0)</f>
        <v>0</v>
      </c>
      <c r="I41" s="91" t="str">
        <f aca="false">IFERROR(IF(B41="","-",IF(B41=0,"⚠ OUT OF STOCK",IF(H41&lt;E41,"⚠ LOW STOCK",IF(G41&gt;0,"Order Needed","✓ OK")))),"-")</f>
        <v>-</v>
      </c>
      <c r="J41" s="107" t="n">
        <f aca="false">'📦 Product Input'!AD43</f>
        <v>0</v>
      </c>
      <c r="K41" s="63" t="str">
        <f aca="false">IFERROR(IF(J41=0,"-",J41*B41),"-")</f>
        <v>-</v>
      </c>
    </row>
    <row r="42" customFormat="false" ht="19.5" hidden="false" customHeight="true" outlineLevel="0" collapsed="false">
      <c r="A42" s="62" t="str">
        <f aca="false">'📦 Product Input'!A44</f>
        <v>Product 39</v>
      </c>
      <c r="B42" s="64" t="n">
        <f aca="false">'📦 Product Input'!Y44</f>
        <v>0</v>
      </c>
      <c r="C42" s="103" t="n">
        <f aca="false">IFERROR('📦 Product Input'!V44/52,0)</f>
        <v>23.3269230769231</v>
      </c>
      <c r="D42" s="104" t="n">
        <f aca="false">'📦 Product Input'!Z44</f>
        <v>4</v>
      </c>
      <c r="E42" s="104" t="n">
        <f aca="false">'📦 Product Input'!AA44</f>
        <v>2</v>
      </c>
      <c r="F42" s="105" t="n">
        <f aca="false">IFERROR(ROUND(C42*(D42+E42),0),0)</f>
        <v>140</v>
      </c>
      <c r="G42" s="105" t="n">
        <f aca="false">IFERROR(MAX(0,F42-B42),0)</f>
        <v>140</v>
      </c>
      <c r="H42" s="106" t="n">
        <f aca="false">IFERROR(B42/MAX(0.01,C42),0)</f>
        <v>0</v>
      </c>
      <c r="I42" s="91" t="str">
        <f aca="false">IFERROR(IF(B42="","-",IF(B42=0,"⚠ OUT OF STOCK",IF(H42&lt;E42,"⚠ LOW STOCK",IF(G42&gt;0,"Order Needed","✓ OK")))),"-")</f>
        <v>-</v>
      </c>
      <c r="J42" s="107" t="n">
        <f aca="false">'📦 Product Input'!AD44</f>
        <v>0</v>
      </c>
      <c r="K42" s="63" t="str">
        <f aca="false">IFERROR(IF(J42=0,"-",J42*B42),"-")</f>
        <v>-</v>
      </c>
    </row>
    <row r="43" customFormat="false" ht="19.5" hidden="false" customHeight="true" outlineLevel="0" collapsed="false">
      <c r="A43" s="62" t="str">
        <f aca="false">'📦 Product Input'!A45</f>
        <v>Product 40</v>
      </c>
      <c r="B43" s="64" t="n">
        <f aca="false">'📦 Product Input'!Y45</f>
        <v>0</v>
      </c>
      <c r="C43" s="103" t="n">
        <f aca="false">IFERROR('📦 Product Input'!V45/52,0)</f>
        <v>23.3269230769231</v>
      </c>
      <c r="D43" s="104" t="n">
        <f aca="false">'📦 Product Input'!Z45</f>
        <v>4</v>
      </c>
      <c r="E43" s="104" t="n">
        <f aca="false">'📦 Product Input'!AA45</f>
        <v>2</v>
      </c>
      <c r="F43" s="105" t="n">
        <f aca="false">IFERROR(ROUND(C43*(D43+E43),0),0)</f>
        <v>140</v>
      </c>
      <c r="G43" s="105" t="n">
        <f aca="false">IFERROR(MAX(0,F43-B43),0)</f>
        <v>140</v>
      </c>
      <c r="H43" s="106" t="n">
        <f aca="false">IFERROR(B43/MAX(0.01,C43),0)</f>
        <v>0</v>
      </c>
      <c r="I43" s="91" t="str">
        <f aca="false">IFERROR(IF(B43="","-",IF(B43=0,"⚠ OUT OF STOCK",IF(H43&lt;E43,"⚠ LOW STOCK",IF(G43&gt;0,"Order Needed","✓ OK")))),"-")</f>
        <v>-</v>
      </c>
      <c r="J43" s="107" t="n">
        <f aca="false">'📦 Product Input'!AD45</f>
        <v>0</v>
      </c>
      <c r="K43" s="63" t="str">
        <f aca="false">IFERROR(IF(J43=0,"-",J43*B43),"-")</f>
        <v>-</v>
      </c>
    </row>
    <row r="44" customFormat="false" ht="19.5" hidden="false" customHeight="true" outlineLevel="0" collapsed="false">
      <c r="A44" s="62" t="str">
        <f aca="false">'📦 Product Input'!A46</f>
        <v>Product 41</v>
      </c>
      <c r="B44" s="64" t="n">
        <f aca="false">'📦 Product Input'!Y46</f>
        <v>0</v>
      </c>
      <c r="C44" s="103" t="n">
        <f aca="false">IFERROR('📦 Product Input'!V46/52,0)</f>
        <v>23.3269230769231</v>
      </c>
      <c r="D44" s="104" t="n">
        <f aca="false">'📦 Product Input'!Z46</f>
        <v>4</v>
      </c>
      <c r="E44" s="104" t="n">
        <f aca="false">'📦 Product Input'!AA46</f>
        <v>2</v>
      </c>
      <c r="F44" s="105" t="n">
        <f aca="false">IFERROR(ROUND(C44*(D44+E44),0),0)</f>
        <v>140</v>
      </c>
      <c r="G44" s="105" t="n">
        <f aca="false">IFERROR(MAX(0,F44-B44),0)</f>
        <v>140</v>
      </c>
      <c r="H44" s="106" t="n">
        <f aca="false">IFERROR(B44/MAX(0.01,C44),0)</f>
        <v>0</v>
      </c>
      <c r="I44" s="91" t="str">
        <f aca="false">IFERROR(IF(B44="","-",IF(B44=0,"⚠ OUT OF STOCK",IF(H44&lt;E44,"⚠ LOW STOCK",IF(G44&gt;0,"Order Needed","✓ OK")))),"-")</f>
        <v>-</v>
      </c>
      <c r="J44" s="107" t="n">
        <f aca="false">'📦 Product Input'!AD46</f>
        <v>0</v>
      </c>
      <c r="K44" s="63" t="str">
        <f aca="false">IFERROR(IF(J44=0,"-",J44*B44),"-")</f>
        <v>-</v>
      </c>
    </row>
    <row r="45" customFormat="false" ht="19.5" hidden="false" customHeight="true" outlineLevel="0" collapsed="false">
      <c r="A45" s="62" t="str">
        <f aca="false">'📦 Product Input'!A47</f>
        <v>Product 42</v>
      </c>
      <c r="B45" s="64" t="n">
        <f aca="false">'📦 Product Input'!Y47</f>
        <v>0</v>
      </c>
      <c r="C45" s="103" t="n">
        <f aca="false">IFERROR('📦 Product Input'!V47/52,0)</f>
        <v>23.3269230769231</v>
      </c>
      <c r="D45" s="104" t="n">
        <f aca="false">'📦 Product Input'!Z47</f>
        <v>4</v>
      </c>
      <c r="E45" s="104" t="n">
        <f aca="false">'📦 Product Input'!AA47</f>
        <v>2</v>
      </c>
      <c r="F45" s="105" t="n">
        <f aca="false">IFERROR(ROUND(C45*(D45+E45),0),0)</f>
        <v>140</v>
      </c>
      <c r="G45" s="105" t="n">
        <f aca="false">IFERROR(MAX(0,F45-B45),0)</f>
        <v>140</v>
      </c>
      <c r="H45" s="106" t="n">
        <f aca="false">IFERROR(B45/MAX(0.01,C45),0)</f>
        <v>0</v>
      </c>
      <c r="I45" s="91" t="str">
        <f aca="false">IFERROR(IF(B45="","-",IF(B45=0,"⚠ OUT OF STOCK",IF(H45&lt;E45,"⚠ LOW STOCK",IF(G45&gt;0,"Order Needed","✓ OK")))),"-")</f>
        <v>-</v>
      </c>
      <c r="J45" s="107" t="n">
        <f aca="false">'📦 Product Input'!AD47</f>
        <v>0</v>
      </c>
      <c r="K45" s="63" t="str">
        <f aca="false">IFERROR(IF(J45=0,"-",J45*B45),"-")</f>
        <v>-</v>
      </c>
    </row>
    <row r="46" customFormat="false" ht="19.5" hidden="false" customHeight="true" outlineLevel="0" collapsed="false">
      <c r="A46" s="62" t="str">
        <f aca="false">'📦 Product Input'!A48</f>
        <v>Product 43</v>
      </c>
      <c r="B46" s="64" t="n">
        <f aca="false">'📦 Product Input'!Y48</f>
        <v>0</v>
      </c>
      <c r="C46" s="103" t="n">
        <f aca="false">IFERROR('📦 Product Input'!V48/52,0)</f>
        <v>23.3269230769231</v>
      </c>
      <c r="D46" s="104" t="n">
        <f aca="false">'📦 Product Input'!Z48</f>
        <v>4</v>
      </c>
      <c r="E46" s="104" t="n">
        <f aca="false">'📦 Product Input'!AA48</f>
        <v>2</v>
      </c>
      <c r="F46" s="105" t="n">
        <f aca="false">IFERROR(ROUND(C46*(D46+E46),0),0)</f>
        <v>140</v>
      </c>
      <c r="G46" s="105" t="n">
        <f aca="false">IFERROR(MAX(0,F46-B46),0)</f>
        <v>140</v>
      </c>
      <c r="H46" s="106" t="n">
        <f aca="false">IFERROR(B46/MAX(0.01,C46),0)</f>
        <v>0</v>
      </c>
      <c r="I46" s="91" t="str">
        <f aca="false">IFERROR(IF(B46="","-",IF(B46=0,"⚠ OUT OF STOCK",IF(H46&lt;E46,"⚠ LOW STOCK",IF(G46&gt;0,"Order Needed","✓ OK")))),"-")</f>
        <v>-</v>
      </c>
      <c r="J46" s="107" t="n">
        <f aca="false">'📦 Product Input'!AD48</f>
        <v>0</v>
      </c>
      <c r="K46" s="63" t="str">
        <f aca="false">IFERROR(IF(J46=0,"-",J46*B46),"-")</f>
        <v>-</v>
      </c>
    </row>
    <row r="47" customFormat="false" ht="19.5" hidden="false" customHeight="true" outlineLevel="0" collapsed="false">
      <c r="A47" s="62" t="str">
        <f aca="false">'📦 Product Input'!A49</f>
        <v>Product 44</v>
      </c>
      <c r="B47" s="64" t="n">
        <f aca="false">'📦 Product Input'!Y49</f>
        <v>0</v>
      </c>
      <c r="C47" s="103" t="n">
        <f aca="false">IFERROR('📦 Product Input'!V49/52,0)</f>
        <v>23.3269230769231</v>
      </c>
      <c r="D47" s="104" t="n">
        <f aca="false">'📦 Product Input'!Z49</f>
        <v>4</v>
      </c>
      <c r="E47" s="104" t="n">
        <f aca="false">'📦 Product Input'!AA49</f>
        <v>2</v>
      </c>
      <c r="F47" s="105" t="n">
        <f aca="false">IFERROR(ROUND(C47*(D47+E47),0),0)</f>
        <v>140</v>
      </c>
      <c r="G47" s="105" t="n">
        <f aca="false">IFERROR(MAX(0,F47-B47),0)</f>
        <v>140</v>
      </c>
      <c r="H47" s="106" t="n">
        <f aca="false">IFERROR(B47/MAX(0.01,C47),0)</f>
        <v>0</v>
      </c>
      <c r="I47" s="91" t="str">
        <f aca="false">IFERROR(IF(B47="","-",IF(B47=0,"⚠ OUT OF STOCK",IF(H47&lt;E47,"⚠ LOW STOCK",IF(G47&gt;0,"Order Needed","✓ OK")))),"-")</f>
        <v>-</v>
      </c>
      <c r="J47" s="107" t="n">
        <f aca="false">'📦 Product Input'!AD49</f>
        <v>0</v>
      </c>
      <c r="K47" s="63" t="str">
        <f aca="false">IFERROR(IF(J47=0,"-",J47*B47),"-")</f>
        <v>-</v>
      </c>
    </row>
    <row r="48" customFormat="false" ht="19.5" hidden="false" customHeight="true" outlineLevel="0" collapsed="false">
      <c r="A48" s="62" t="str">
        <f aca="false">'📦 Product Input'!A50</f>
        <v>Product 45</v>
      </c>
      <c r="B48" s="64" t="n">
        <f aca="false">'📦 Product Input'!Y50</f>
        <v>0</v>
      </c>
      <c r="C48" s="103" t="n">
        <f aca="false">IFERROR('📦 Product Input'!V50/52,0)</f>
        <v>23.3269230769231</v>
      </c>
      <c r="D48" s="104" t="n">
        <f aca="false">'📦 Product Input'!Z50</f>
        <v>4</v>
      </c>
      <c r="E48" s="104" t="n">
        <f aca="false">'📦 Product Input'!AA50</f>
        <v>2</v>
      </c>
      <c r="F48" s="105" t="n">
        <f aca="false">IFERROR(ROUND(C48*(D48+E48),0),0)</f>
        <v>140</v>
      </c>
      <c r="G48" s="105" t="n">
        <f aca="false">IFERROR(MAX(0,F48-B48),0)</f>
        <v>140</v>
      </c>
      <c r="H48" s="106" t="n">
        <f aca="false">IFERROR(B48/MAX(0.01,C48),0)</f>
        <v>0</v>
      </c>
      <c r="I48" s="91" t="str">
        <f aca="false">IFERROR(IF(B48="","-",IF(B48=0,"⚠ OUT OF STOCK",IF(H48&lt;E48,"⚠ LOW STOCK",IF(G48&gt;0,"Order Needed","✓ OK")))),"-")</f>
        <v>-</v>
      </c>
      <c r="J48" s="107" t="n">
        <f aca="false">'📦 Product Input'!AD50</f>
        <v>0</v>
      </c>
      <c r="K48" s="63" t="str">
        <f aca="false">IFERROR(IF(J48=0,"-",J48*B48),"-")</f>
        <v>-</v>
      </c>
    </row>
    <row r="49" customFormat="false" ht="19.5" hidden="false" customHeight="true" outlineLevel="0" collapsed="false">
      <c r="A49" s="62" t="str">
        <f aca="false">'📦 Product Input'!A51</f>
        <v>Product 46</v>
      </c>
      <c r="B49" s="64" t="n">
        <f aca="false">'📦 Product Input'!Y51</f>
        <v>0</v>
      </c>
      <c r="C49" s="103" t="n">
        <f aca="false">IFERROR('📦 Product Input'!V51/52,0)</f>
        <v>23.3269230769231</v>
      </c>
      <c r="D49" s="104" t="n">
        <f aca="false">'📦 Product Input'!Z51</f>
        <v>4</v>
      </c>
      <c r="E49" s="104" t="n">
        <f aca="false">'📦 Product Input'!AA51</f>
        <v>2</v>
      </c>
      <c r="F49" s="105" t="n">
        <f aca="false">IFERROR(ROUND(C49*(D49+E49),0),0)</f>
        <v>140</v>
      </c>
      <c r="G49" s="105" t="n">
        <f aca="false">IFERROR(MAX(0,F49-B49),0)</f>
        <v>140</v>
      </c>
      <c r="H49" s="106" t="n">
        <f aca="false">IFERROR(B49/MAX(0.01,C49),0)</f>
        <v>0</v>
      </c>
      <c r="I49" s="91" t="str">
        <f aca="false">IFERROR(IF(B49="","-",IF(B49=0,"⚠ OUT OF STOCK",IF(H49&lt;E49,"⚠ LOW STOCK",IF(G49&gt;0,"Order Needed","✓ OK")))),"-")</f>
        <v>-</v>
      </c>
      <c r="J49" s="107" t="n">
        <f aca="false">'📦 Product Input'!AD51</f>
        <v>0</v>
      </c>
      <c r="K49" s="63" t="str">
        <f aca="false">IFERROR(IF(J49=0,"-",J49*B49),"-")</f>
        <v>-</v>
      </c>
    </row>
    <row r="50" customFormat="false" ht="19.5" hidden="false" customHeight="true" outlineLevel="0" collapsed="false">
      <c r="A50" s="62" t="str">
        <f aca="false">'📦 Product Input'!A52</f>
        <v>Product 47</v>
      </c>
      <c r="B50" s="64" t="n">
        <f aca="false">'📦 Product Input'!Y52</f>
        <v>0</v>
      </c>
      <c r="C50" s="103" t="n">
        <f aca="false">IFERROR('📦 Product Input'!V52/52,0)</f>
        <v>23.3269230769231</v>
      </c>
      <c r="D50" s="104" t="n">
        <f aca="false">'📦 Product Input'!Z52</f>
        <v>4</v>
      </c>
      <c r="E50" s="104" t="n">
        <f aca="false">'📦 Product Input'!AA52</f>
        <v>2</v>
      </c>
      <c r="F50" s="105" t="n">
        <f aca="false">IFERROR(ROUND(C50*(D50+E50),0),0)</f>
        <v>140</v>
      </c>
      <c r="G50" s="105" t="n">
        <f aca="false">IFERROR(MAX(0,F50-B50),0)</f>
        <v>140</v>
      </c>
      <c r="H50" s="106" t="n">
        <f aca="false">IFERROR(B50/MAX(0.01,C50),0)</f>
        <v>0</v>
      </c>
      <c r="I50" s="91" t="str">
        <f aca="false">IFERROR(IF(B50="","-",IF(B50=0,"⚠ OUT OF STOCK",IF(H50&lt;E50,"⚠ LOW STOCK",IF(G50&gt;0,"Order Needed","✓ OK")))),"-")</f>
        <v>-</v>
      </c>
      <c r="J50" s="107" t="n">
        <f aca="false">'📦 Product Input'!AD52</f>
        <v>0</v>
      </c>
      <c r="K50" s="63" t="str">
        <f aca="false">IFERROR(IF(J50=0,"-",J50*B50),"-")</f>
        <v>-</v>
      </c>
    </row>
    <row r="51" customFormat="false" ht="19.5" hidden="false" customHeight="true" outlineLevel="0" collapsed="false">
      <c r="A51" s="62" t="str">
        <f aca="false">'📦 Product Input'!A53</f>
        <v>Product 48</v>
      </c>
      <c r="B51" s="64" t="n">
        <f aca="false">'📦 Product Input'!Y53</f>
        <v>0</v>
      </c>
      <c r="C51" s="103" t="n">
        <f aca="false">IFERROR('📦 Product Input'!V53/52,0)</f>
        <v>23.3269230769231</v>
      </c>
      <c r="D51" s="104" t="n">
        <f aca="false">'📦 Product Input'!Z53</f>
        <v>4</v>
      </c>
      <c r="E51" s="104" t="n">
        <f aca="false">'📦 Product Input'!AA53</f>
        <v>2</v>
      </c>
      <c r="F51" s="105" t="n">
        <f aca="false">IFERROR(ROUND(C51*(D51+E51),0),0)</f>
        <v>140</v>
      </c>
      <c r="G51" s="105" t="n">
        <f aca="false">IFERROR(MAX(0,F51-B51),0)</f>
        <v>140</v>
      </c>
      <c r="H51" s="106" t="n">
        <f aca="false">IFERROR(B51/MAX(0.01,C51),0)</f>
        <v>0</v>
      </c>
      <c r="I51" s="91" t="str">
        <f aca="false">IFERROR(IF(B51="","-",IF(B51=0,"⚠ OUT OF STOCK",IF(H51&lt;E51,"⚠ LOW STOCK",IF(G51&gt;0,"Order Needed","✓ OK")))),"-")</f>
        <v>-</v>
      </c>
      <c r="J51" s="107" t="n">
        <f aca="false">'📦 Product Input'!AD53</f>
        <v>0</v>
      </c>
      <c r="K51" s="63" t="str">
        <f aca="false">IFERROR(IF(J51=0,"-",J51*B51),"-")</f>
        <v>-</v>
      </c>
    </row>
    <row r="52" customFormat="false" ht="19.5" hidden="false" customHeight="true" outlineLevel="0" collapsed="false">
      <c r="A52" s="62" t="str">
        <f aca="false">'📦 Product Input'!A54</f>
        <v>Product 49</v>
      </c>
      <c r="B52" s="64" t="n">
        <f aca="false">'📦 Product Input'!Y54</f>
        <v>0</v>
      </c>
      <c r="C52" s="103" t="n">
        <f aca="false">IFERROR('📦 Product Input'!V54/52,0)</f>
        <v>23.3269230769231</v>
      </c>
      <c r="D52" s="104" t="n">
        <f aca="false">'📦 Product Input'!Z54</f>
        <v>4</v>
      </c>
      <c r="E52" s="104" t="n">
        <f aca="false">'📦 Product Input'!AA54</f>
        <v>2</v>
      </c>
      <c r="F52" s="105" t="n">
        <f aca="false">IFERROR(ROUND(C52*(D52+E52),0),0)</f>
        <v>140</v>
      </c>
      <c r="G52" s="105" t="n">
        <f aca="false">IFERROR(MAX(0,F52-B52),0)</f>
        <v>140</v>
      </c>
      <c r="H52" s="106" t="n">
        <f aca="false">IFERROR(B52/MAX(0.01,C52),0)</f>
        <v>0</v>
      </c>
      <c r="I52" s="91" t="str">
        <f aca="false">IFERROR(IF(B52="","-",IF(B52=0,"⚠ OUT OF STOCK",IF(H52&lt;E52,"⚠ LOW STOCK",IF(G52&gt;0,"Order Needed","✓ OK")))),"-")</f>
        <v>-</v>
      </c>
      <c r="J52" s="107" t="n">
        <f aca="false">'📦 Product Input'!AD54</f>
        <v>0</v>
      </c>
      <c r="K52" s="63" t="str">
        <f aca="false">IFERROR(IF(J52=0,"-",J52*B52),"-")</f>
        <v>-</v>
      </c>
    </row>
    <row r="53" customFormat="false" ht="19.5" hidden="false" customHeight="true" outlineLevel="0" collapsed="false">
      <c r="A53" s="62" t="str">
        <f aca="false">'📦 Product Input'!A55</f>
        <v>Product 50</v>
      </c>
      <c r="B53" s="64" t="n">
        <f aca="false">'📦 Product Input'!Y55</f>
        <v>0</v>
      </c>
      <c r="C53" s="103" t="n">
        <f aca="false">IFERROR('📦 Product Input'!V55/52,0)</f>
        <v>23.3269230769231</v>
      </c>
      <c r="D53" s="104" t="n">
        <f aca="false">'📦 Product Input'!Z55</f>
        <v>4</v>
      </c>
      <c r="E53" s="104" t="n">
        <f aca="false">'📦 Product Input'!AA55</f>
        <v>2</v>
      </c>
      <c r="F53" s="105" t="n">
        <f aca="false">IFERROR(ROUND(C53*(D53+E53),0),0)</f>
        <v>140</v>
      </c>
      <c r="G53" s="105" t="n">
        <f aca="false">IFERROR(MAX(0,F53-B53),0)</f>
        <v>140</v>
      </c>
      <c r="H53" s="106" t="n">
        <f aca="false">IFERROR(B53/MAX(0.01,C53),0)</f>
        <v>0</v>
      </c>
      <c r="I53" s="91" t="str">
        <f aca="false">IFERROR(IF(B53="","-",IF(B53=0,"⚠ OUT OF STOCK",IF(H53&lt;E53,"⚠ LOW STOCK",IF(G53&gt;0,"Order Needed","✓ OK")))),"-")</f>
        <v>-</v>
      </c>
      <c r="J53" s="107" t="n">
        <f aca="false">'📦 Product Input'!AD55</f>
        <v>0</v>
      </c>
      <c r="K53" s="63" t="str">
        <f aca="false">IFERROR(IF(J53=0,"-",J53*B53),"-")</f>
        <v>-</v>
      </c>
    </row>
    <row r="54" customFormat="false" ht="21.75" hidden="false" customHeight="true" outlineLevel="0" collapsed="false">
      <c r="A54" s="32" t="s">
        <v>458</v>
      </c>
      <c r="B54" s="32"/>
      <c r="C54" s="32"/>
      <c r="D54" s="32"/>
      <c r="E54" s="32"/>
      <c r="F54" s="32"/>
      <c r="G54" s="32"/>
      <c r="H54" s="32"/>
    </row>
    <row r="55" customFormat="false" ht="21.75" hidden="false" customHeight="true" outlineLevel="0" collapsed="false">
      <c r="A55" s="8" t="s">
        <v>459</v>
      </c>
      <c r="B55" s="8"/>
      <c r="C55" s="8"/>
      <c r="D55" s="8"/>
      <c r="E55" s="8"/>
      <c r="F55" s="8"/>
      <c r="G55" s="8"/>
      <c r="H55" s="8"/>
      <c r="I55" s="8"/>
      <c r="J55" s="8"/>
      <c r="K55" s="47" t="n">
        <f aca="false">IFERROR(SUMIF(K4:K53,"&gt;0"),0)</f>
        <v>75283</v>
      </c>
    </row>
    <row r="56" customFormat="false" ht="21.75" hidden="false" customHeight="true" outlineLevel="0" collapsed="false">
      <c r="A56" s="30" t="s">
        <v>460</v>
      </c>
      <c r="F56" s="108" t="n">
        <f aca="false">IFERROR(SUMIF(K4:K53,"&gt;0"),0)</f>
        <v>75283</v>
      </c>
    </row>
    <row r="57" customFormat="false" ht="21.75" hidden="false" customHeight="true" outlineLevel="0" collapsed="false"/>
    <row r="58" customFormat="false" ht="21.75" hidden="false" customHeight="true" outlineLevel="0" collapsed="false"/>
    <row r="59" customFormat="false" ht="21.75" hidden="false" customHeight="true" outlineLevel="0" collapsed="false"/>
  </sheetData>
  <mergeCells count="4">
    <mergeCell ref="A1:K1"/>
    <mergeCell ref="A2:K2"/>
    <mergeCell ref="A54:H54"/>
    <mergeCell ref="A55:J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12" min="2" style="1" width="16"/>
  </cols>
  <sheetData>
    <row r="1" customFormat="false" ht="27.75" hidden="false" customHeight="true" outlineLevel="0" collapsed="false">
      <c r="A1" s="14" t="s">
        <v>461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5" hidden="false" customHeight="true" outlineLevel="0" collapsed="false">
      <c r="A2" s="15" t="s">
        <v>462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36" hidden="false" customHeight="true" outlineLevel="0" collapsed="false">
      <c r="A3" s="87" t="s">
        <v>463</v>
      </c>
      <c r="B3" s="88" t="n">
        <f aca="false">COUNTA('📦 Product Input'!A6:A55)</f>
        <v>50</v>
      </c>
      <c r="C3" s="87" t="s">
        <v>464</v>
      </c>
      <c r="D3" s="89" t="n">
        <f aca="false">SUM('📦 Product Input'!V6:V55)</f>
        <v>63585</v>
      </c>
      <c r="E3" s="87" t="s">
        <v>465</v>
      </c>
      <c r="F3" s="89" t="n">
        <f aca="false">SUM('📦 Product Input'!W6:W55)</f>
        <v>1238378.7</v>
      </c>
      <c r="G3" s="87" t="s">
        <v>466</v>
      </c>
      <c r="H3" s="88" t="n">
        <f aca="false">SUMIF('📦 Product Input'!R6:R55,1)</f>
        <v>15</v>
      </c>
      <c r="I3" s="87" t="s">
        <v>467</v>
      </c>
      <c r="J3" s="88" t="n">
        <f aca="false">COUNTIF('📦 Product Input'!AC6:AC55,"Order Needed")</f>
        <v>3</v>
      </c>
      <c r="K3" s="87" t="s">
        <v>468</v>
      </c>
      <c r="L3" s="88" t="n">
        <f aca="false">COUNTIF('📦 Product Input'!AC6:AC55,"*LOW*")</f>
        <v>0</v>
      </c>
    </row>
    <row r="4" customFormat="false" ht="21.75" hidden="false" customHeight="true" outlineLevel="0" collapsed="false">
      <c r="A4" s="8" t="s">
        <v>469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customFormat="false" ht="21.75" hidden="false" customHeight="true" outlineLevel="0" collapsed="false">
      <c r="A5" s="22" t="s">
        <v>405</v>
      </c>
      <c r="B5" s="22" t="s">
        <v>125</v>
      </c>
      <c r="C5" s="22" t="s">
        <v>470</v>
      </c>
      <c r="D5" s="22" t="s">
        <v>471</v>
      </c>
      <c r="E5" s="22" t="s">
        <v>472</v>
      </c>
      <c r="F5" s="22" t="s">
        <v>473</v>
      </c>
      <c r="H5" s="22" t="s">
        <v>293</v>
      </c>
      <c r="I5" s="22" t="s">
        <v>294</v>
      </c>
      <c r="J5" s="22" t="s">
        <v>295</v>
      </c>
      <c r="K5" s="22" t="s">
        <v>474</v>
      </c>
      <c r="L5" s="22" t="s">
        <v>475</v>
      </c>
    </row>
    <row r="6" customFormat="false" ht="21.75" hidden="false" customHeight="true" outlineLevel="0" collapsed="false">
      <c r="A6" s="93" t="n">
        <v>1</v>
      </c>
      <c r="B6" s="91" t="str">
        <f aca="false">IFERROR(INDEX('📦 Product Input'!$A$6:$A$55,MATCH(LARGE('📦 Product Input'!$W$6:$W$55,1),'📦 Product Input'!$W$6:$W$55,0)),"-")</f>
        <v>Product 2</v>
      </c>
      <c r="C6" s="63" t="n">
        <f aca="false">IFERROR(INDEX('📦 Product Input'!$V$6:$V$55,MATCH(LARGE('📦 Product Input'!$W$6:$W$55,1),'📦 Product Input'!$W$6:$W$55,0)),0)</f>
        <v>1286</v>
      </c>
      <c r="D6" s="63" t="n">
        <f aca="false">IFERROR(LARGE('📦 Product Input'!$W$6:$W$55,1),0)</f>
        <v>115727.14</v>
      </c>
      <c r="E6" s="94" t="n">
        <f aca="false">IFERROR(INDEX('📦 Product Input'!$B$6:$B$55,MATCH(LARGE('📦 Product Input'!$W$6:$W$55,1),'📦 Product Input'!$W$6:$W$55,0)),0)</f>
        <v>89.99</v>
      </c>
      <c r="F6" s="91" t="str">
        <f aca="false">IFERROR(INDEX('📦 Product Input'!$X$6:$X$55,MATCH(LARGE('📦 Product Input'!$W$6:$W$55,1),'📦 Product Input'!$W$6:$W$55,0)),"-")</f>
        <v>HIST</v>
      </c>
      <c r="H6" s="93" t="s">
        <v>234</v>
      </c>
      <c r="I6" s="63" t="n">
        <f aca="false">'📅 Monthly Forecast'!B59</f>
        <v>5104</v>
      </c>
      <c r="J6" s="63" t="n">
        <f aca="false">'📅 Monthly Forecast'!C59</f>
        <v>6320684884.8</v>
      </c>
      <c r="K6" s="92" t="n">
        <f aca="false">'📅 Monthly Forecast'!D59</f>
        <v>0.0803134490409277</v>
      </c>
      <c r="L6" s="92" t="n">
        <f aca="false">'📅 Monthly Forecast'!E59</f>
        <v>-0.0362386115088668</v>
      </c>
    </row>
    <row r="7" customFormat="false" ht="21.75" hidden="false" customHeight="true" outlineLevel="0" collapsed="false">
      <c r="A7" s="97" t="n">
        <v>2</v>
      </c>
      <c r="B7" s="62" t="str">
        <f aca="false">IFERROR(INDEX('📦 Product Input'!$A$6:$A$55,MATCH(LARGE('📦 Product Input'!$W$6:$W$55,2),'📦 Product Input'!$W$6:$W$55,0)),"-")</f>
        <v>Product 15</v>
      </c>
      <c r="C7" s="95" t="n">
        <f aca="false">IFERROR(INDEX('📦 Product Input'!$V$6:$V$55,MATCH(LARGE('📦 Product Input'!$W$6:$W$55,2),'📦 Product Input'!$W$6:$W$55,0)),0)</f>
        <v>551</v>
      </c>
      <c r="D7" s="95" t="n">
        <f aca="false">IFERROR(LARGE('📦 Product Input'!$W$6:$W$55,2),0)</f>
        <v>110194.49</v>
      </c>
      <c r="E7" s="98" t="n">
        <f aca="false">IFERROR(INDEX('📦 Product Input'!$B$6:$B$55,MATCH(LARGE('📦 Product Input'!$W$6:$W$55,2),'📦 Product Input'!$W$6:$W$55,0)),0)</f>
        <v>199.99</v>
      </c>
      <c r="F7" s="62" t="str">
        <f aca="false">IFERROR(INDEX('📦 Product Input'!$X$6:$X$55,MATCH(LARGE('📦 Product Input'!$W$6:$W$55,2),'📦 Product Input'!$W$6:$W$55,0)),"-")</f>
        <v>HIST</v>
      </c>
      <c r="H7" s="97" t="s">
        <v>235</v>
      </c>
      <c r="I7" s="95" t="n">
        <f aca="false">'📅 Monthly Forecast'!B60</f>
        <v>4979</v>
      </c>
      <c r="J7" s="95" t="n">
        <f aca="false">'📅 Monthly Forecast'!C60</f>
        <v>6165887547.3</v>
      </c>
      <c r="K7" s="96" t="n">
        <f aca="false">'📅 Monthly Forecast'!D60</f>
        <v>0.0783465248383188</v>
      </c>
      <c r="L7" s="96" t="n">
        <f aca="false">'📅 Monthly Forecast'!E60</f>
        <v>-0.0598417019401739</v>
      </c>
    </row>
    <row r="8" customFormat="false" ht="21.75" hidden="false" customHeight="true" outlineLevel="0" collapsed="false">
      <c r="A8" s="93" t="n">
        <v>3</v>
      </c>
      <c r="B8" s="91" t="str">
        <f aca="false">IFERROR(INDEX('📦 Product Input'!$A$6:$A$55,MATCH(LARGE('📦 Product Input'!$W$6:$W$55,3),'📦 Product Input'!$W$6:$W$55,0)),"-")</f>
        <v>Product 7</v>
      </c>
      <c r="C8" s="63" t="n">
        <f aca="false">IFERROR(INDEX('📦 Product Input'!$V$6:$V$55,MATCH(LARGE('📦 Product Input'!$W$6:$W$55,3),'📦 Product Input'!$W$6:$W$55,0)),0)</f>
        <v>789</v>
      </c>
      <c r="D8" s="63" t="n">
        <f aca="false">IFERROR(LARGE('📦 Product Input'!$W$6:$W$55,3),0)</f>
        <v>102562.11</v>
      </c>
      <c r="E8" s="94" t="n">
        <f aca="false">IFERROR(INDEX('📦 Product Input'!$B$6:$B$55,MATCH(LARGE('📦 Product Input'!$W$6:$W$55,3),'📦 Product Input'!$W$6:$W$55,0)),0)</f>
        <v>129.99</v>
      </c>
      <c r="F8" s="91" t="str">
        <f aca="false">IFERROR(INDEX('📦 Product Input'!$X$6:$X$55,MATCH(LARGE('📦 Product Input'!$W$6:$W$55,3),'📦 Product Input'!$W$6:$W$55,0)),"-")</f>
        <v>HIST</v>
      </c>
      <c r="H8" s="93" t="s">
        <v>236</v>
      </c>
      <c r="I8" s="63" t="n">
        <f aca="false">'📅 Monthly Forecast'!B61</f>
        <v>5261</v>
      </c>
      <c r="J8" s="63" t="n">
        <f aca="false">'📅 Monthly Forecast'!C61</f>
        <v>6515110340.7</v>
      </c>
      <c r="K8" s="92" t="n">
        <f aca="false">'📅 Monthly Forecast'!D61</f>
        <v>0.0827839058394046</v>
      </c>
      <c r="L8" s="92" t="n">
        <f aca="false">'📅 Monthly Forecast'!E61</f>
        <v>-0.00659312992714511</v>
      </c>
    </row>
    <row r="9" customFormat="false" ht="21.75" hidden="false" customHeight="true" outlineLevel="0" collapsed="false">
      <c r="A9" s="97" t="n">
        <v>4</v>
      </c>
      <c r="B9" s="62" t="str">
        <f aca="false">IFERROR(INDEX('📦 Product Input'!$A$6:$A$55,MATCH(LARGE('📦 Product Input'!$W$6:$W$55,4),'📦 Product Input'!$W$6:$W$55,0)),"-")</f>
        <v>Product 6</v>
      </c>
      <c r="C9" s="95" t="n">
        <f aca="false">IFERROR(INDEX('📦 Product Input'!$V$6:$V$55,MATCH(LARGE('📦 Product Input'!$W$6:$W$55,4),'📦 Product Input'!$W$6:$W$55,0)),0)</f>
        <v>1683</v>
      </c>
      <c r="D9" s="95" t="n">
        <f aca="false">IFERROR(LARGE('📦 Product Input'!$W$6:$W$55,4),0)</f>
        <v>100963.17</v>
      </c>
      <c r="E9" s="98" t="n">
        <f aca="false">IFERROR(INDEX('📦 Product Input'!$B$6:$B$55,MATCH(LARGE('📦 Product Input'!$W$6:$W$55,4),'📦 Product Input'!$W$6:$W$55,0)),0)</f>
        <v>59.99</v>
      </c>
      <c r="F9" s="62" t="str">
        <f aca="false">IFERROR(INDEX('📦 Product Input'!$X$6:$X$55,MATCH(LARGE('📦 Product Input'!$W$6:$W$55,4),'📦 Product Input'!$W$6:$W$55,0)),"-")</f>
        <v>HIST</v>
      </c>
      <c r="H9" s="97" t="s">
        <v>237</v>
      </c>
      <c r="I9" s="95" t="n">
        <f aca="false">'📅 Monthly Forecast'!B62</f>
        <v>5171</v>
      </c>
      <c r="J9" s="95" t="n">
        <f aca="false">'📅 Monthly Forecast'!C62</f>
        <v>6403656257.7</v>
      </c>
      <c r="K9" s="96" t="n">
        <f aca="false">'📅 Monthly Forecast'!D62</f>
        <v>0.0813677204135261</v>
      </c>
      <c r="L9" s="96" t="n">
        <f aca="false">'📅 Monthly Forecast'!E62</f>
        <v>-0.0235873550376862</v>
      </c>
    </row>
    <row r="10" customFormat="false" ht="21.75" hidden="false" customHeight="true" outlineLevel="0" collapsed="false">
      <c r="A10" s="93" t="n">
        <v>5</v>
      </c>
      <c r="B10" s="91" t="str">
        <f aca="false">IFERROR(INDEX('📦 Product Input'!$A$6:$A$55,MATCH(LARGE('📦 Product Input'!$W$6:$W$55,5),'📦 Product Input'!$W$6:$W$55,0)),"-")</f>
        <v>Product 3</v>
      </c>
      <c r="C10" s="63" t="n">
        <f aca="false">IFERROR(INDEX('📦 Product Input'!$V$6:$V$55,MATCH(LARGE('📦 Product Input'!$W$6:$W$55,5),'📦 Product Input'!$W$6:$W$55,0)),0)</f>
        <v>2291</v>
      </c>
      <c r="D10" s="63" t="n">
        <f aca="false">IFERROR(LARGE('📦 Product Input'!$W$6:$W$55,5),0)</f>
        <v>91617.09</v>
      </c>
      <c r="E10" s="94" t="n">
        <f aca="false">IFERROR(INDEX('📦 Product Input'!$B$6:$B$55,MATCH(LARGE('📦 Product Input'!$W$6:$W$55,5),'📦 Product Input'!$W$6:$W$55,0)),0)</f>
        <v>39.99</v>
      </c>
      <c r="F10" s="91" t="str">
        <f aca="false">IFERROR(INDEX('📦 Product Input'!$X$6:$X$55,MATCH(LARGE('📦 Product Input'!$W$6:$W$55,5),'📦 Product Input'!$W$6:$W$55,0)),"-")</f>
        <v>HIST</v>
      </c>
      <c r="H10" s="93" t="s">
        <v>238</v>
      </c>
      <c r="I10" s="63" t="n">
        <f aca="false">'📅 Monthly Forecast'!B63</f>
        <v>5403</v>
      </c>
      <c r="J10" s="63" t="n">
        <f aca="false">'📅 Monthly Forecast'!C63</f>
        <v>6690960116.1</v>
      </c>
      <c r="K10" s="92" t="n">
        <f aca="false">'📅 Monthly Forecast'!D63</f>
        <v>0.0850183317335683</v>
      </c>
      <c r="L10" s="92" t="n">
        <f aca="false">'📅 Monthly Forecast'!E63</f>
        <v>0.0202199808028198</v>
      </c>
    </row>
    <row r="11" customFormat="false" ht="21.75" hidden="false" customHeight="true" outlineLevel="0" collapsed="false">
      <c r="A11" s="97" t="n">
        <v>6</v>
      </c>
      <c r="B11" s="62" t="str">
        <f aca="false">IFERROR(INDEX('📦 Product Input'!$A$6:$A$55,MATCH(LARGE('📦 Product Input'!$W$6:$W$55,6),'📦 Product Input'!$W$6:$W$55,0)),"-")</f>
        <v>Product 12</v>
      </c>
      <c r="C11" s="95" t="n">
        <f aca="false">IFERROR(INDEX('📦 Product Input'!$V$6:$V$55,MATCH(LARGE('📦 Product Input'!$W$6:$W$55,6),'📦 Product Input'!$W$6:$W$55,0)),0)</f>
        <v>1134</v>
      </c>
      <c r="D11" s="95" t="n">
        <f aca="false">IFERROR(LARGE('📦 Product Input'!$W$6:$W$55,6),0)</f>
        <v>90708.66</v>
      </c>
      <c r="E11" s="98" t="n">
        <f aca="false">IFERROR(INDEX('📦 Product Input'!$B$6:$B$55,MATCH(LARGE('📦 Product Input'!$W$6:$W$55,6),'📦 Product Input'!$W$6:$W$55,0)),0)</f>
        <v>79.99</v>
      </c>
      <c r="F11" s="62" t="str">
        <f aca="false">IFERROR(INDEX('📦 Product Input'!$X$6:$X$55,MATCH(LARGE('📦 Product Input'!$W$6:$W$55,6),'📦 Product Input'!$W$6:$W$55,0)),"-")</f>
        <v>HIST</v>
      </c>
      <c r="H11" s="97" t="s">
        <v>239</v>
      </c>
      <c r="I11" s="95" t="n">
        <f aca="false">'📅 Monthly Forecast'!B64</f>
        <v>5534</v>
      </c>
      <c r="J11" s="95" t="n">
        <f aca="false">'📅 Monthly Forecast'!C64</f>
        <v>6853187725.8</v>
      </c>
      <c r="K11" s="96" t="n">
        <f aca="false">'📅 Monthly Forecast'!D64</f>
        <v>0.0870796682979025</v>
      </c>
      <c r="L11" s="96" t="n">
        <f aca="false">'📅 Monthly Forecast'!E64</f>
        <v>0.0449560195748298</v>
      </c>
    </row>
    <row r="12" customFormat="false" ht="21.75" hidden="false" customHeight="true" outlineLevel="0" collapsed="false">
      <c r="A12" s="93" t="n">
        <v>7</v>
      </c>
      <c r="B12" s="91" t="str">
        <f aca="false">IFERROR(INDEX('📦 Product Input'!$A$6:$A$55,MATCH(LARGE('📦 Product Input'!$W$6:$W$55,7),'📦 Product Input'!$W$6:$W$55,0)),"-")</f>
        <v>Product 4</v>
      </c>
      <c r="C12" s="63" t="n">
        <f aca="false">IFERROR(INDEX('📦 Product Input'!$V$6:$V$55,MATCH(LARGE('📦 Product Input'!$W$6:$W$55,7),'📦 Product Input'!$W$6:$W$55,0)),0)</f>
        <v>1283</v>
      </c>
      <c r="D12" s="63" t="n">
        <f aca="false">IFERROR(LARGE('📦 Product Input'!$W$6:$W$55,7),0)</f>
        <v>89797.17</v>
      </c>
      <c r="E12" s="94" t="n">
        <f aca="false">IFERROR(INDEX('📦 Product Input'!$B$6:$B$55,MATCH(LARGE('📦 Product Input'!$W$6:$W$55,7),'📦 Product Input'!$W$6:$W$55,0)),0)</f>
        <v>69.99</v>
      </c>
      <c r="F12" s="91" t="str">
        <f aca="false">IFERROR(INDEX('📦 Product Input'!$X$6:$X$55,MATCH(LARGE('📦 Product Input'!$W$6:$W$55,7),'📦 Product Input'!$W$6:$W$55,0)),"-")</f>
        <v>HIST</v>
      </c>
      <c r="H12" s="93" t="s">
        <v>240</v>
      </c>
      <c r="I12" s="63" t="n">
        <f aca="false">'📅 Monthly Forecast'!B65</f>
        <v>5056</v>
      </c>
      <c r="J12" s="63" t="n">
        <f aca="false">'📅 Monthly Forecast'!C65</f>
        <v>6261242707.2</v>
      </c>
      <c r="K12" s="92" t="n">
        <f aca="false">'📅 Monthly Forecast'!D65</f>
        <v>0.0795581501471259</v>
      </c>
      <c r="L12" s="92" t="n">
        <f aca="false">'📅 Monthly Forecast'!E65</f>
        <v>-0.0453021982344888</v>
      </c>
    </row>
    <row r="13" customFormat="false" ht="21.75" hidden="false" customHeight="true" outlineLevel="0" collapsed="false">
      <c r="A13" s="97" t="n">
        <v>8</v>
      </c>
      <c r="B13" s="62" t="str">
        <f aca="false">IFERROR(INDEX('📦 Product Input'!$A$6:$A$55,MATCH(LARGE('📦 Product Input'!$W$6:$W$55,8),'📦 Product Input'!$W$6:$W$55,0)),"-")</f>
        <v>Product 10</v>
      </c>
      <c r="C13" s="95" t="n">
        <f aca="false">IFERROR(INDEX('📦 Product Input'!$V$6:$V$55,MATCH(LARGE('📦 Product Input'!$W$6:$W$55,8),'📦 Product Input'!$W$6:$W$55,0)),0)</f>
        <v>867</v>
      </c>
      <c r="D13" s="95" t="n">
        <f aca="false">IFERROR(LARGE('📦 Product Input'!$W$6:$W$55,8),0)</f>
        <v>86691.33</v>
      </c>
      <c r="E13" s="98" t="n">
        <f aca="false">IFERROR(INDEX('📦 Product Input'!$B$6:$B$55,MATCH(LARGE('📦 Product Input'!$W$6:$W$55,8),'📦 Product Input'!$W$6:$W$55,0)),0)</f>
        <v>99.99</v>
      </c>
      <c r="F13" s="62" t="str">
        <f aca="false">IFERROR(INDEX('📦 Product Input'!$X$6:$X$55,MATCH(LARGE('📦 Product Input'!$W$6:$W$55,8),'📦 Product Input'!$W$6:$W$55,0)),"-")</f>
        <v>HIST</v>
      </c>
      <c r="H13" s="97" t="s">
        <v>241</v>
      </c>
      <c r="I13" s="95" t="n">
        <f aca="false">'📅 Monthly Forecast'!B66</f>
        <v>4862</v>
      </c>
      <c r="J13" s="95" t="n">
        <f aca="false">'📅 Monthly Forecast'!C66</f>
        <v>6020997239.4</v>
      </c>
      <c r="K13" s="96" t="n">
        <f aca="false">'📅 Monthly Forecast'!D66</f>
        <v>0.0765054837846769</v>
      </c>
      <c r="L13" s="96" t="n">
        <f aca="false">'📅 Monthly Forecast'!E66</f>
        <v>-0.0819341945838775</v>
      </c>
    </row>
    <row r="14" customFormat="false" ht="21.75" hidden="false" customHeight="true" outlineLevel="0" collapsed="false">
      <c r="A14" s="93" t="n">
        <v>9</v>
      </c>
      <c r="B14" s="91" t="str">
        <f aca="false">IFERROR(INDEX('📦 Product Input'!$A$6:$A$55,MATCH(LARGE('📦 Product Input'!$W$6:$W$55,9),'📦 Product Input'!$W$6:$W$55,0)),"-")</f>
        <v>Product 9</v>
      </c>
      <c r="C14" s="63" t="n">
        <f aca="false">IFERROR(INDEX('📦 Product Input'!$V$6:$V$55,MATCH(LARGE('📦 Product Input'!$W$6:$W$55,9),'📦 Product Input'!$W$6:$W$55,0)),0)</f>
        <v>1026</v>
      </c>
      <c r="D14" s="63" t="n">
        <f aca="false">IFERROR(LARGE('📦 Product Input'!$W$6:$W$55,9),0)</f>
        <v>82069.74</v>
      </c>
      <c r="E14" s="94" t="n">
        <f aca="false">IFERROR(INDEX('📦 Product Input'!$B$6:$B$55,MATCH(LARGE('📦 Product Input'!$W$6:$W$55,9),'📦 Product Input'!$W$6:$W$55,0)),0)</f>
        <v>79.99</v>
      </c>
      <c r="F14" s="91" t="str">
        <f aca="false">IFERROR(INDEX('📦 Product Input'!$X$6:$X$55,MATCH(LARGE('📦 Product Input'!$W$6:$W$55,9),'📦 Product Input'!$W$6:$W$55,0)),"-")</f>
        <v>HIST</v>
      </c>
      <c r="H14" s="93" t="s">
        <v>242</v>
      </c>
      <c r="I14" s="63" t="n">
        <f aca="false">'📅 Monthly Forecast'!B67</f>
        <v>5651</v>
      </c>
      <c r="J14" s="63" t="n">
        <f aca="false">'📅 Monthly Forecast'!C67</f>
        <v>6998078033.7</v>
      </c>
      <c r="K14" s="92" t="n">
        <f aca="false">'📅 Monthly Forecast'!D67</f>
        <v>0.0889207093515444</v>
      </c>
      <c r="L14" s="92" t="n">
        <f aca="false">'📅 Monthly Forecast'!E67</f>
        <v>0.0670485122185331</v>
      </c>
    </row>
    <row r="15" customFormat="false" ht="21.75" hidden="false" customHeight="true" outlineLevel="0" collapsed="false">
      <c r="A15" s="97" t="n">
        <v>10</v>
      </c>
      <c r="B15" s="62" t="str">
        <f aca="false">IFERROR(INDEX('📦 Product Input'!$A$6:$A$55,MATCH(LARGE('📦 Product Input'!$W$6:$W$55,10),'📦 Product Input'!$W$6:$W$55,0)),"-")</f>
        <v>Product 1</v>
      </c>
      <c r="C15" s="95" t="n">
        <f aca="false">IFERROR(INDEX('📦 Product Input'!$V$6:$V$55,MATCH(LARGE('📦 Product Input'!$W$6:$W$55,10),'📦 Product Input'!$W$6:$W$55,0)),0)</f>
        <v>1637</v>
      </c>
      <c r="D15" s="95" t="n">
        <f aca="false">IFERROR(LARGE('📦 Product Input'!$W$6:$W$55,10),0)</f>
        <v>81833.63</v>
      </c>
      <c r="E15" s="98" t="n">
        <f aca="false">IFERROR(INDEX('📦 Product Input'!$B$6:$B$55,MATCH(LARGE('📦 Product Input'!$W$6:$W$55,10),'📦 Product Input'!$W$6:$W$55,0)),0)</f>
        <v>49.99</v>
      </c>
      <c r="F15" s="62" t="str">
        <f aca="false">IFERROR(INDEX('📦 Product Input'!$X$6:$X$55,MATCH(LARGE('📦 Product Input'!$W$6:$W$55,10),'📦 Product Input'!$W$6:$W$55,0)),"-")</f>
        <v>HIST</v>
      </c>
      <c r="H15" s="97" t="s">
        <v>243</v>
      </c>
      <c r="I15" s="95" t="n">
        <f aca="false">'📅 Monthly Forecast'!B68</f>
        <v>5393</v>
      </c>
      <c r="J15" s="95" t="n">
        <f aca="false">'📅 Monthly Forecast'!C68</f>
        <v>6678576329.1</v>
      </c>
      <c r="K15" s="96" t="n">
        <f aca="false">'📅 Monthly Forecast'!D68</f>
        <v>0.0848609777973596</v>
      </c>
      <c r="L15" s="96" t="n">
        <f aca="false">'📅 Monthly Forecast'!E68</f>
        <v>0.0183317335683153</v>
      </c>
    </row>
  </sheetData>
  <mergeCells count="3">
    <mergeCell ref="A1:L1"/>
    <mergeCell ref="A2:L2"/>
    <mergeCell ref="A4:L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13" min="2" style="1" width="16"/>
  </cols>
  <sheetData>
    <row r="1" customFormat="false" ht="27.75" hidden="false" customHeight="true" outlineLevel="0" collapsed="false">
      <c r="A1" s="14" t="s">
        <v>476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customFormat="false" ht="15" hidden="false" customHeight="true" outlineLevel="0" collapsed="false">
      <c r="A2" s="15" t="s">
        <v>477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customFormat="false" ht="36" hidden="false" customHeight="true" outlineLevel="0" collapsed="false">
      <c r="A3" s="87" t="s">
        <v>478</v>
      </c>
      <c r="B3" s="88" t="n">
        <f aca="false">COUNTIF('📣 Marketing Engine'!D14:D63,"&gt;0")</f>
        <v>0</v>
      </c>
      <c r="C3" s="87" t="s">
        <v>56</v>
      </c>
      <c r="D3" s="89" t="n">
        <f aca="false">SUMIF('📣 Marketing Engine'!D14:D63,"&gt;0")</f>
        <v>0</v>
      </c>
      <c r="E3" s="87" t="s">
        <v>479</v>
      </c>
      <c r="F3" s="89" t="n">
        <f aca="false">SUMIF('📣 Marketing Engine'!N14:N63,"&gt;0")</f>
        <v>1631570</v>
      </c>
      <c r="G3" s="87" t="s">
        <v>480</v>
      </c>
      <c r="H3" s="89" t="n">
        <f aca="false">SUMIF('📣 Marketing Engine'!P14:P63,"&gt;-1E10")</f>
        <v>803955</v>
      </c>
      <c r="I3" s="87" t="s">
        <v>481</v>
      </c>
      <c r="J3" s="90" t="n">
        <f aca="false">IFERROR(SUMIF('📣 Marketing Engine'!P14:P63,"&gt;-1E10")/SUMIF('📣 Marketing Engine'!D14:D63,"&gt;0"),0)</f>
        <v>0</v>
      </c>
      <c r="K3" s="87" t="s">
        <v>482</v>
      </c>
      <c r="L3" s="88" t="n">
        <f aca="false">COUNTIF('📣 Marketing Engine'!P14:P63,"&lt;0")</f>
        <v>0</v>
      </c>
    </row>
    <row r="4" customFormat="false" ht="21.75" hidden="false" customHeight="true" outlineLevel="0" collapsed="false">
      <c r="A4" s="8" t="s">
        <v>483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customFormat="false" ht="15" hidden="false" customHeight="true" outlineLevel="0" collapsed="false">
      <c r="A5" s="22" t="s">
        <v>405</v>
      </c>
      <c r="B5" s="22" t="s">
        <v>484</v>
      </c>
      <c r="C5" s="22" t="s">
        <v>485</v>
      </c>
      <c r="D5" s="22" t="s">
        <v>308</v>
      </c>
      <c r="E5" s="22" t="s">
        <v>486</v>
      </c>
      <c r="F5" s="22" t="s">
        <v>409</v>
      </c>
      <c r="H5" s="22" t="s">
        <v>405</v>
      </c>
      <c r="I5" s="22" t="s">
        <v>484</v>
      </c>
      <c r="J5" s="22" t="s">
        <v>487</v>
      </c>
      <c r="K5" s="22" t="s">
        <v>308</v>
      </c>
      <c r="L5" s="22" t="s">
        <v>486</v>
      </c>
    </row>
    <row r="6" customFormat="false" ht="21.75" hidden="false" customHeight="true" outlineLevel="0" collapsed="false">
      <c r="A6" s="93" t="n">
        <v>1</v>
      </c>
      <c r="B6" s="91" t="str">
        <f aca="false">IFERROR(INDEX('📣 Marketing Engine'!$C$14:$C$63,MATCH(LARGE(IF(ISNUMBER('📣 Marketing Engine'!$P$14:$P$63),'📣 Marketing Engine'!$P$14:$P$63,-10000000000),1),IF(ISNUMBER('📣 Marketing Engine'!$P$14:$P$63),'📣 Marketing Engine'!$P$14:$P$63,-10000000000),0)),"-")</f>
        <v>-</v>
      </c>
      <c r="C6" s="91" t="str">
        <f aca="false">IFERROR(INDEX('📣 Marketing Engine'!$B$14:$B$63,MATCH(LARGE(IF(ISNUMBER('📣 Marketing Engine'!$P$14:$P$63),'📣 Marketing Engine'!$P$14:$P$63,-10000000000),1),IF(ISNUMBER('📣 Marketing Engine'!$P$14:$P$63),'📣 Marketing Engine'!$P$14:$P$63,-10000000000),0)),"-")</f>
        <v>-</v>
      </c>
      <c r="D6" s="63" t="n">
        <f aca="false">IFERROR(LARGE(IF(ISNUMBER('📣 Marketing Engine'!$P$14:$P$63),'📣 Marketing Engine'!$P$14:$P$63,-10000000000),1),0)</f>
        <v>-10000000000</v>
      </c>
      <c r="E6" s="91" t="str">
        <f aca="false">IFERROR(INDEX('📣 Marketing Engine'!$Q$14:$Q$63,MATCH(LARGE(IF(ISNUMBER('📣 Marketing Engine'!$P$14:$P$63),'📣 Marketing Engine'!$P$14:$P$63,-10000000000),1),IF(ISNUMBER('📣 Marketing Engine'!$P$14:$P$63),'📣 Marketing Engine'!$P$14:$P$63,-10000000000),0)),"-")</f>
        <v>-</v>
      </c>
      <c r="H6" s="93" t="n">
        <v>1</v>
      </c>
      <c r="I6" s="91" t="str">
        <f aca="false">IFERROR(INDEX('📣 Marketing Engine'!$C$14:$C$63,MATCH(SMALL(IF(ISNUMBER('📣 Marketing Engine'!$P$14:$P$63),'📣 Marketing Engine'!$P$14:$P$63,10000000000),1),IF(ISNUMBER('📣 Marketing Engine'!$P$14:$P$63),'📣 Marketing Engine'!$P$14:$P$63,10000000000),0)),"-")</f>
        <v>-</v>
      </c>
      <c r="J6" s="63" t="n">
        <f aca="false">IFERROR(INDEX('📣 Marketing Engine'!$D$14:$D$63,MATCH(SMALL(IF(ISNUMBER('📣 Marketing Engine'!$P$14:$P$63),'📣 Marketing Engine'!$P$14:$P$63,10000000000),1),IF(ISNUMBER('📣 Marketing Engine'!$P$14:$P$63),'📣 Marketing Engine'!$P$14:$P$63,10000000000),0)),0)</f>
        <v>0</v>
      </c>
      <c r="K6" s="63" t="n">
        <f aca="false">IFERROR(SMALL(IF(ISNUMBER('📣 Marketing Engine'!$P$14:$P$63),'📣 Marketing Engine'!$P$14:$P$63,10000000000),1),0)</f>
        <v>10000000000</v>
      </c>
    </row>
    <row r="7" customFormat="false" ht="21.75" hidden="false" customHeight="true" outlineLevel="0" collapsed="false">
      <c r="A7" s="97" t="n">
        <v>2</v>
      </c>
      <c r="B7" s="62" t="str">
        <f aca="false">IFERROR(INDEX('📣 Marketing Engine'!$C$14:$C$63,MATCH(LARGE(IF(ISNUMBER('📣 Marketing Engine'!$P$14:$P$63),'📣 Marketing Engine'!$P$14:$P$63,-10000000000),2),IF(ISNUMBER('📣 Marketing Engine'!$P$14:$P$63),'📣 Marketing Engine'!$P$14:$P$63,-10000000000),0)),"-")</f>
        <v>-</v>
      </c>
      <c r="C7" s="62" t="str">
        <f aca="false">IFERROR(INDEX('📣 Marketing Engine'!$B$14:$B$63,MATCH(LARGE(IF(ISNUMBER('📣 Marketing Engine'!$P$14:$P$63),'📣 Marketing Engine'!$P$14:$P$63,-10000000000),2),IF(ISNUMBER('📣 Marketing Engine'!$P$14:$P$63),'📣 Marketing Engine'!$P$14:$P$63,-10000000000),0)),"-")</f>
        <v>-</v>
      </c>
      <c r="D7" s="95" t="n">
        <f aca="false">IFERROR(LARGE(IF(ISNUMBER('📣 Marketing Engine'!$P$14:$P$63),'📣 Marketing Engine'!$P$14:$P$63,-10000000000),2),0)</f>
        <v>0</v>
      </c>
      <c r="E7" s="62" t="str">
        <f aca="false">IFERROR(INDEX('📣 Marketing Engine'!$Q$14:$Q$63,MATCH(LARGE(IF(ISNUMBER('📣 Marketing Engine'!$P$14:$P$63),'📣 Marketing Engine'!$P$14:$P$63,-10000000000),2),IF(ISNUMBER('📣 Marketing Engine'!$P$14:$P$63),'📣 Marketing Engine'!$P$14:$P$63,-10000000000),0)),"-")</f>
        <v>-</v>
      </c>
      <c r="H7" s="97" t="n">
        <v>2</v>
      </c>
      <c r="I7" s="62" t="str">
        <f aca="false">IFERROR(INDEX('📣 Marketing Engine'!$C$14:$C$63,MATCH(SMALL(IF(ISNUMBER('📣 Marketing Engine'!$P$14:$P$63),'📣 Marketing Engine'!$P$14:$P$63,10000000000),2),IF(ISNUMBER('📣 Marketing Engine'!$P$14:$P$63),'📣 Marketing Engine'!$P$14:$P$63,10000000000),0)),"-")</f>
        <v>-</v>
      </c>
      <c r="J7" s="95" t="n">
        <f aca="false">IFERROR(INDEX('📣 Marketing Engine'!$D$14:$D$63,MATCH(SMALL(IF(ISNUMBER('📣 Marketing Engine'!$P$14:$P$63),'📣 Marketing Engine'!$P$14:$P$63,10000000000),2),IF(ISNUMBER('📣 Marketing Engine'!$P$14:$P$63),'📣 Marketing Engine'!$P$14:$P$63,10000000000),0)),0)</f>
        <v>0</v>
      </c>
      <c r="K7" s="95" t="n">
        <f aca="false">IFERROR(SMALL(IF(ISNUMBER('📣 Marketing Engine'!$P$14:$P$63),'📣 Marketing Engine'!$P$14:$P$63,10000000000),2),0)</f>
        <v>0</v>
      </c>
    </row>
    <row r="8" customFormat="false" ht="21.75" hidden="false" customHeight="true" outlineLevel="0" collapsed="false">
      <c r="A8" s="93" t="n">
        <v>3</v>
      </c>
      <c r="B8" s="91" t="str">
        <f aca="false">IFERROR(INDEX('📣 Marketing Engine'!$C$14:$C$63,MATCH(LARGE(IF(ISNUMBER('📣 Marketing Engine'!$P$14:$P$63),'📣 Marketing Engine'!$P$14:$P$63,-10000000000),3),IF(ISNUMBER('📣 Marketing Engine'!$P$14:$P$63),'📣 Marketing Engine'!$P$14:$P$63,-10000000000),0)),"-")</f>
        <v>-</v>
      </c>
      <c r="C8" s="91" t="str">
        <f aca="false">IFERROR(INDEX('📣 Marketing Engine'!$B$14:$B$63,MATCH(LARGE(IF(ISNUMBER('📣 Marketing Engine'!$P$14:$P$63),'📣 Marketing Engine'!$P$14:$P$63,-10000000000),3),IF(ISNUMBER('📣 Marketing Engine'!$P$14:$P$63),'📣 Marketing Engine'!$P$14:$P$63,-10000000000),0)),"-")</f>
        <v>-</v>
      </c>
      <c r="D8" s="63" t="n">
        <f aca="false">IFERROR(LARGE(IF(ISNUMBER('📣 Marketing Engine'!$P$14:$P$63),'📣 Marketing Engine'!$P$14:$P$63,-10000000000),3),0)</f>
        <v>0</v>
      </c>
      <c r="E8" s="91" t="str">
        <f aca="false">IFERROR(INDEX('📣 Marketing Engine'!$Q$14:$Q$63,MATCH(LARGE(IF(ISNUMBER('📣 Marketing Engine'!$P$14:$P$63),'📣 Marketing Engine'!$P$14:$P$63,-10000000000),3),IF(ISNUMBER('📣 Marketing Engine'!$P$14:$P$63),'📣 Marketing Engine'!$P$14:$P$63,-10000000000),0)),"-")</f>
        <v>-</v>
      </c>
      <c r="H8" s="93" t="n">
        <v>3</v>
      </c>
      <c r="I8" s="91" t="str">
        <f aca="false">IFERROR(INDEX('📣 Marketing Engine'!$C$14:$C$63,MATCH(SMALL(IF(ISNUMBER('📣 Marketing Engine'!$P$14:$P$63),'📣 Marketing Engine'!$P$14:$P$63,10000000000),3),IF(ISNUMBER('📣 Marketing Engine'!$P$14:$P$63),'📣 Marketing Engine'!$P$14:$P$63,10000000000),0)),"-")</f>
        <v>-</v>
      </c>
      <c r="J8" s="63" t="n">
        <f aca="false">IFERROR(INDEX('📣 Marketing Engine'!$D$14:$D$63,MATCH(SMALL(IF(ISNUMBER('📣 Marketing Engine'!$P$14:$P$63),'📣 Marketing Engine'!$P$14:$P$63,10000000000),3),IF(ISNUMBER('📣 Marketing Engine'!$P$14:$P$63),'📣 Marketing Engine'!$P$14:$P$63,10000000000),0)),0)</f>
        <v>0</v>
      </c>
      <c r="K8" s="63" t="n">
        <f aca="false">IFERROR(SMALL(IF(ISNUMBER('📣 Marketing Engine'!$P$14:$P$63),'📣 Marketing Engine'!$P$14:$P$63,10000000000),3),0)</f>
        <v>0</v>
      </c>
    </row>
    <row r="9" customFormat="false" ht="21.75" hidden="false" customHeight="true" outlineLevel="0" collapsed="false">
      <c r="A9" s="97" t="n">
        <v>4</v>
      </c>
      <c r="B9" s="62" t="str">
        <f aca="false">IFERROR(INDEX('📣 Marketing Engine'!$C$14:$C$63,MATCH(LARGE(IF(ISNUMBER('📣 Marketing Engine'!$P$14:$P$63),'📣 Marketing Engine'!$P$14:$P$63,-10000000000),4),IF(ISNUMBER('📣 Marketing Engine'!$P$14:$P$63),'📣 Marketing Engine'!$P$14:$P$63,-10000000000),0)),"-")</f>
        <v>-</v>
      </c>
      <c r="C9" s="62" t="str">
        <f aca="false">IFERROR(INDEX('📣 Marketing Engine'!$B$14:$B$63,MATCH(LARGE(IF(ISNUMBER('📣 Marketing Engine'!$P$14:$P$63),'📣 Marketing Engine'!$P$14:$P$63,-10000000000),4),IF(ISNUMBER('📣 Marketing Engine'!$P$14:$P$63),'📣 Marketing Engine'!$P$14:$P$63,-10000000000),0)),"-")</f>
        <v>-</v>
      </c>
      <c r="D9" s="95" t="n">
        <f aca="false">IFERROR(LARGE(IF(ISNUMBER('📣 Marketing Engine'!$P$14:$P$63),'📣 Marketing Engine'!$P$14:$P$63,-10000000000),4),0)</f>
        <v>0</v>
      </c>
      <c r="E9" s="62" t="str">
        <f aca="false">IFERROR(INDEX('📣 Marketing Engine'!$Q$14:$Q$63,MATCH(LARGE(IF(ISNUMBER('📣 Marketing Engine'!$P$14:$P$63),'📣 Marketing Engine'!$P$14:$P$63,-10000000000),4),IF(ISNUMBER('📣 Marketing Engine'!$P$14:$P$63),'📣 Marketing Engine'!$P$14:$P$63,-10000000000),0)),"-")</f>
        <v>-</v>
      </c>
      <c r="H9" s="97" t="n">
        <v>4</v>
      </c>
      <c r="I9" s="62" t="str">
        <f aca="false">IFERROR(INDEX('📣 Marketing Engine'!$C$14:$C$63,MATCH(SMALL(IF(ISNUMBER('📣 Marketing Engine'!$P$14:$P$63),'📣 Marketing Engine'!$P$14:$P$63,10000000000),4),IF(ISNUMBER('📣 Marketing Engine'!$P$14:$P$63),'📣 Marketing Engine'!$P$14:$P$63,10000000000),0)),"-")</f>
        <v>-</v>
      </c>
      <c r="J9" s="95" t="n">
        <f aca="false">IFERROR(INDEX('📣 Marketing Engine'!$D$14:$D$63,MATCH(SMALL(IF(ISNUMBER('📣 Marketing Engine'!$P$14:$P$63),'📣 Marketing Engine'!$P$14:$P$63,10000000000),4),IF(ISNUMBER('📣 Marketing Engine'!$P$14:$P$63),'📣 Marketing Engine'!$P$14:$P$63,10000000000),0)),0)</f>
        <v>0</v>
      </c>
      <c r="K9" s="95" t="n">
        <f aca="false">IFERROR(SMALL(IF(ISNUMBER('📣 Marketing Engine'!$P$14:$P$63),'📣 Marketing Engine'!$P$14:$P$63,10000000000),4),0)</f>
        <v>0</v>
      </c>
    </row>
    <row r="10" customFormat="false" ht="21.75" hidden="false" customHeight="true" outlineLevel="0" collapsed="false">
      <c r="A10" s="93" t="n">
        <v>5</v>
      </c>
      <c r="B10" s="91" t="str">
        <f aca="false">IFERROR(INDEX('📣 Marketing Engine'!$C$14:$C$63,MATCH(LARGE(IF(ISNUMBER('📣 Marketing Engine'!$P$14:$P$63),'📣 Marketing Engine'!$P$14:$P$63,-10000000000),5),IF(ISNUMBER('📣 Marketing Engine'!$P$14:$P$63),'📣 Marketing Engine'!$P$14:$P$63,-10000000000),0)),"-")</f>
        <v>-</v>
      </c>
      <c r="C10" s="91" t="str">
        <f aca="false">IFERROR(INDEX('📣 Marketing Engine'!$B$14:$B$63,MATCH(LARGE(IF(ISNUMBER('📣 Marketing Engine'!$P$14:$P$63),'📣 Marketing Engine'!$P$14:$P$63,-10000000000),5),IF(ISNUMBER('📣 Marketing Engine'!$P$14:$P$63),'📣 Marketing Engine'!$P$14:$P$63,-10000000000),0)),"-")</f>
        <v>-</v>
      </c>
      <c r="D10" s="63" t="n">
        <f aca="false">IFERROR(LARGE(IF(ISNUMBER('📣 Marketing Engine'!$P$14:$P$63),'📣 Marketing Engine'!$P$14:$P$63,-10000000000),5),0)</f>
        <v>0</v>
      </c>
      <c r="E10" s="91" t="str">
        <f aca="false">IFERROR(INDEX('📣 Marketing Engine'!$Q$14:$Q$63,MATCH(LARGE(IF(ISNUMBER('📣 Marketing Engine'!$P$14:$P$63),'📣 Marketing Engine'!$P$14:$P$63,-10000000000),5),IF(ISNUMBER('📣 Marketing Engine'!$P$14:$P$63),'📣 Marketing Engine'!$P$14:$P$63,-10000000000),0)),"-")</f>
        <v>-</v>
      </c>
      <c r="H10" s="93" t="n">
        <v>5</v>
      </c>
      <c r="I10" s="91" t="str">
        <f aca="false">IFERROR(INDEX('📣 Marketing Engine'!$C$14:$C$63,MATCH(SMALL(IF(ISNUMBER('📣 Marketing Engine'!$P$14:$P$63),'📣 Marketing Engine'!$P$14:$P$63,10000000000),5),IF(ISNUMBER('📣 Marketing Engine'!$P$14:$P$63),'📣 Marketing Engine'!$P$14:$P$63,10000000000),0)),"-")</f>
        <v>-</v>
      </c>
      <c r="J10" s="63" t="n">
        <f aca="false">IFERROR(INDEX('📣 Marketing Engine'!$D$14:$D$63,MATCH(SMALL(IF(ISNUMBER('📣 Marketing Engine'!$P$14:$P$63),'📣 Marketing Engine'!$P$14:$P$63,10000000000),5),IF(ISNUMBER('📣 Marketing Engine'!$P$14:$P$63),'📣 Marketing Engine'!$P$14:$P$63,10000000000),0)),0)</f>
        <v>0</v>
      </c>
      <c r="K10" s="63" t="n">
        <f aca="false">IFERROR(SMALL(IF(ISNUMBER('📣 Marketing Engine'!$P$14:$P$63),'📣 Marketing Engine'!$P$14:$P$63,10000000000),5),0)</f>
        <v>0</v>
      </c>
    </row>
    <row r="11" customFormat="false" ht="21.75" hidden="false" customHeight="true" outlineLevel="0" collapsed="false">
      <c r="A11" s="97" t="n">
        <v>6</v>
      </c>
      <c r="B11" s="62" t="str">
        <f aca="false">IFERROR(INDEX('📣 Marketing Engine'!$C$14:$C$63,MATCH(LARGE(IF(ISNUMBER('📣 Marketing Engine'!$P$14:$P$63),'📣 Marketing Engine'!$P$14:$P$63,-10000000000),6),IF(ISNUMBER('📣 Marketing Engine'!$P$14:$P$63),'📣 Marketing Engine'!$P$14:$P$63,-10000000000),0)),"-")</f>
        <v>-</v>
      </c>
      <c r="C11" s="62" t="str">
        <f aca="false">IFERROR(INDEX('📣 Marketing Engine'!$B$14:$B$63,MATCH(LARGE(IF(ISNUMBER('📣 Marketing Engine'!$P$14:$P$63),'📣 Marketing Engine'!$P$14:$P$63,-10000000000),6),IF(ISNUMBER('📣 Marketing Engine'!$P$14:$P$63),'📣 Marketing Engine'!$P$14:$P$63,-10000000000),0)),"-")</f>
        <v>-</v>
      </c>
      <c r="D11" s="95" t="n">
        <f aca="false">IFERROR(LARGE(IF(ISNUMBER('📣 Marketing Engine'!$P$14:$P$63),'📣 Marketing Engine'!$P$14:$P$63,-10000000000),6),0)</f>
        <v>0</v>
      </c>
      <c r="E11" s="62" t="str">
        <f aca="false">IFERROR(INDEX('📣 Marketing Engine'!$Q$14:$Q$63,MATCH(LARGE(IF(ISNUMBER('📣 Marketing Engine'!$P$14:$P$63),'📣 Marketing Engine'!$P$14:$P$63,-10000000000),6),IF(ISNUMBER('📣 Marketing Engine'!$P$14:$P$63),'📣 Marketing Engine'!$P$14:$P$63,-10000000000),0)),"-")</f>
        <v>-</v>
      </c>
      <c r="H11" s="97" t="n">
        <v>6</v>
      </c>
      <c r="I11" s="62" t="str">
        <f aca="false">IFERROR(INDEX('📣 Marketing Engine'!$C$14:$C$63,MATCH(SMALL(IF(ISNUMBER('📣 Marketing Engine'!$P$14:$P$63),'📣 Marketing Engine'!$P$14:$P$63,10000000000),6),IF(ISNUMBER('📣 Marketing Engine'!$P$14:$P$63),'📣 Marketing Engine'!$P$14:$P$63,10000000000),0)),"-")</f>
        <v>-</v>
      </c>
      <c r="J11" s="95" t="n">
        <f aca="false">IFERROR(INDEX('📣 Marketing Engine'!$D$14:$D$63,MATCH(SMALL(IF(ISNUMBER('📣 Marketing Engine'!$P$14:$P$63),'📣 Marketing Engine'!$P$14:$P$63,10000000000),6),IF(ISNUMBER('📣 Marketing Engine'!$P$14:$P$63),'📣 Marketing Engine'!$P$14:$P$63,10000000000),0)),0)</f>
        <v>0</v>
      </c>
      <c r="K11" s="95" t="n">
        <f aca="false">IFERROR(SMALL(IF(ISNUMBER('📣 Marketing Engine'!$P$14:$P$63),'📣 Marketing Engine'!$P$14:$P$63,10000000000),6),0)</f>
        <v>0</v>
      </c>
    </row>
    <row r="12" customFormat="false" ht="21.75" hidden="false" customHeight="true" outlineLevel="0" collapsed="false">
      <c r="A12" s="93" t="n">
        <v>7</v>
      </c>
      <c r="B12" s="91" t="str">
        <f aca="false">IFERROR(INDEX('📣 Marketing Engine'!$C$14:$C$63,MATCH(LARGE(IF(ISNUMBER('📣 Marketing Engine'!$P$14:$P$63),'📣 Marketing Engine'!$P$14:$P$63,-10000000000),7),IF(ISNUMBER('📣 Marketing Engine'!$P$14:$P$63),'📣 Marketing Engine'!$P$14:$P$63,-10000000000),0)),"-")</f>
        <v>-</v>
      </c>
      <c r="C12" s="91" t="str">
        <f aca="false">IFERROR(INDEX('📣 Marketing Engine'!$B$14:$B$63,MATCH(LARGE(IF(ISNUMBER('📣 Marketing Engine'!$P$14:$P$63),'📣 Marketing Engine'!$P$14:$P$63,-10000000000),7),IF(ISNUMBER('📣 Marketing Engine'!$P$14:$P$63),'📣 Marketing Engine'!$P$14:$P$63,-10000000000),0)),"-")</f>
        <v>-</v>
      </c>
      <c r="D12" s="63" t="n">
        <f aca="false">IFERROR(LARGE(IF(ISNUMBER('📣 Marketing Engine'!$P$14:$P$63),'📣 Marketing Engine'!$P$14:$P$63,-10000000000),7),0)</f>
        <v>0</v>
      </c>
      <c r="E12" s="91" t="str">
        <f aca="false">IFERROR(INDEX('📣 Marketing Engine'!$Q$14:$Q$63,MATCH(LARGE(IF(ISNUMBER('📣 Marketing Engine'!$P$14:$P$63),'📣 Marketing Engine'!$P$14:$P$63,-10000000000),7),IF(ISNUMBER('📣 Marketing Engine'!$P$14:$P$63),'📣 Marketing Engine'!$P$14:$P$63,-10000000000),0)),"-")</f>
        <v>-</v>
      </c>
      <c r="H12" s="93" t="n">
        <v>7</v>
      </c>
      <c r="I12" s="91" t="str">
        <f aca="false">IFERROR(INDEX('📣 Marketing Engine'!$C$14:$C$63,MATCH(SMALL(IF(ISNUMBER('📣 Marketing Engine'!$P$14:$P$63),'📣 Marketing Engine'!$P$14:$P$63,10000000000),7),IF(ISNUMBER('📣 Marketing Engine'!$P$14:$P$63),'📣 Marketing Engine'!$P$14:$P$63,10000000000),0)),"-")</f>
        <v>-</v>
      </c>
      <c r="J12" s="63" t="n">
        <f aca="false">IFERROR(INDEX('📣 Marketing Engine'!$D$14:$D$63,MATCH(SMALL(IF(ISNUMBER('📣 Marketing Engine'!$P$14:$P$63),'📣 Marketing Engine'!$P$14:$P$63,10000000000),7),IF(ISNUMBER('📣 Marketing Engine'!$P$14:$P$63),'📣 Marketing Engine'!$P$14:$P$63,10000000000),0)),0)</f>
        <v>0</v>
      </c>
      <c r="K12" s="63" t="n">
        <f aca="false">IFERROR(SMALL(IF(ISNUMBER('📣 Marketing Engine'!$P$14:$P$63),'📣 Marketing Engine'!$P$14:$P$63,10000000000),7),0)</f>
        <v>0</v>
      </c>
    </row>
    <row r="13" customFormat="false" ht="21.75" hidden="false" customHeight="true" outlineLevel="0" collapsed="false">
      <c r="A13" s="97" t="n">
        <v>8</v>
      </c>
      <c r="B13" s="62" t="str">
        <f aca="false">IFERROR(INDEX('📣 Marketing Engine'!$C$14:$C$63,MATCH(LARGE(IF(ISNUMBER('📣 Marketing Engine'!$P$14:$P$63),'📣 Marketing Engine'!$P$14:$P$63,-10000000000),8),IF(ISNUMBER('📣 Marketing Engine'!$P$14:$P$63),'📣 Marketing Engine'!$P$14:$P$63,-10000000000),0)),"-")</f>
        <v>-</v>
      </c>
      <c r="C13" s="62" t="str">
        <f aca="false">IFERROR(INDEX('📣 Marketing Engine'!$B$14:$B$63,MATCH(LARGE(IF(ISNUMBER('📣 Marketing Engine'!$P$14:$P$63),'📣 Marketing Engine'!$P$14:$P$63,-10000000000),8),IF(ISNUMBER('📣 Marketing Engine'!$P$14:$P$63),'📣 Marketing Engine'!$P$14:$P$63,-10000000000),0)),"-")</f>
        <v>-</v>
      </c>
      <c r="D13" s="95" t="n">
        <f aca="false">IFERROR(LARGE(IF(ISNUMBER('📣 Marketing Engine'!$P$14:$P$63),'📣 Marketing Engine'!$P$14:$P$63,-10000000000),8),0)</f>
        <v>0</v>
      </c>
      <c r="E13" s="62" t="str">
        <f aca="false">IFERROR(INDEX('📣 Marketing Engine'!$Q$14:$Q$63,MATCH(LARGE(IF(ISNUMBER('📣 Marketing Engine'!$P$14:$P$63),'📣 Marketing Engine'!$P$14:$P$63,-10000000000),8),IF(ISNUMBER('📣 Marketing Engine'!$P$14:$P$63),'📣 Marketing Engine'!$P$14:$P$63,-10000000000),0)),"-")</f>
        <v>-</v>
      </c>
      <c r="H13" s="97" t="n">
        <v>8</v>
      </c>
      <c r="I13" s="62" t="str">
        <f aca="false">IFERROR(INDEX('📣 Marketing Engine'!$C$14:$C$63,MATCH(SMALL(IF(ISNUMBER('📣 Marketing Engine'!$P$14:$P$63),'📣 Marketing Engine'!$P$14:$P$63,10000000000),8),IF(ISNUMBER('📣 Marketing Engine'!$P$14:$P$63),'📣 Marketing Engine'!$P$14:$P$63,10000000000),0)),"-")</f>
        <v>-</v>
      </c>
      <c r="J13" s="95" t="n">
        <f aca="false">IFERROR(INDEX('📣 Marketing Engine'!$D$14:$D$63,MATCH(SMALL(IF(ISNUMBER('📣 Marketing Engine'!$P$14:$P$63),'📣 Marketing Engine'!$P$14:$P$63,10000000000),8),IF(ISNUMBER('📣 Marketing Engine'!$P$14:$P$63),'📣 Marketing Engine'!$P$14:$P$63,10000000000),0)),0)</f>
        <v>0</v>
      </c>
      <c r="K13" s="95" t="n">
        <f aca="false">IFERROR(SMALL(IF(ISNUMBER('📣 Marketing Engine'!$P$14:$P$63),'📣 Marketing Engine'!$P$14:$P$63,10000000000),8),0)</f>
        <v>0</v>
      </c>
    </row>
    <row r="14" customFormat="false" ht="21.75" hidden="false" customHeight="true" outlineLevel="0" collapsed="false">
      <c r="A14" s="93" t="n">
        <v>9</v>
      </c>
      <c r="B14" s="91" t="n">
        <f aca="false">IFERROR(INDEX('📣 Marketing Engine'!$C$14:$C$63,MATCH(LARGE(IF(ISNUMBER('📣 Marketing Engine'!$P$14:$P$63),'📣 Marketing Engine'!$P$14:$P$63,-10000000000),9),IF(ISNUMBER('📣 Marketing Engine'!$P$14:$P$63),'📣 Marketing Engine'!$P$14:$P$63,-10000000000),0)),"-")</f>
        <v>0</v>
      </c>
      <c r="C14" s="91" t="n">
        <f aca="false">IFERROR(INDEX('📣 Marketing Engine'!$B$14:$B$63,MATCH(LARGE(IF(ISNUMBER('📣 Marketing Engine'!$P$14:$P$63),'📣 Marketing Engine'!$P$14:$P$63,-10000000000),9),IF(ISNUMBER('📣 Marketing Engine'!$P$14:$P$63),'📣 Marketing Engine'!$P$14:$P$63,-10000000000),0)),"-")</f>
        <v>0</v>
      </c>
      <c r="D14" s="63" t="n">
        <f aca="false">IFERROR(LARGE(IF(ISNUMBER('📣 Marketing Engine'!$P$14:$P$63),'📣 Marketing Engine'!$P$14:$P$63,-10000000000),9),0)</f>
        <v>0</v>
      </c>
      <c r="E14" s="109" t="n">
        <f aca="false">IFERROR(INDEX('📣 Marketing Engine'!$Q$14:$Q$63,MATCH(LARGE(IF(ISNUMBER('📣 Marketing Engine'!$P$14:$P$63),'📣 Marketing Engine'!$P$14:$P$63,-10000000000),9),IF(ISNUMBER('📣 Marketing Engine'!$P$14:$P$63),'📣 Marketing Engine'!$P$14:$P$63,-10000000000),0)),"-")</f>
        <v>0</v>
      </c>
      <c r="H14" s="93" t="n">
        <v>9</v>
      </c>
      <c r="I14" s="91" t="n">
        <f aca="false">IFERROR(INDEX('📣 Marketing Engine'!$C$14:$C$63,MATCH(SMALL(IF(ISNUMBER('📣 Marketing Engine'!$P$14:$P$63),'📣 Marketing Engine'!$P$14:$P$63,10000000000),9),IF(ISNUMBER('📣 Marketing Engine'!$P$14:$P$63),'📣 Marketing Engine'!$P$14:$P$63,10000000000),0)),"-")</f>
        <v>0</v>
      </c>
      <c r="J14" s="63" t="n">
        <f aca="false">IFERROR(INDEX('📣 Marketing Engine'!$D$14:$D$63,MATCH(SMALL(IF(ISNUMBER('📣 Marketing Engine'!$P$14:$P$63),'📣 Marketing Engine'!$P$14:$P$63,10000000000),9),IF(ISNUMBER('📣 Marketing Engine'!$P$14:$P$63),'📣 Marketing Engine'!$P$14:$P$63,10000000000),0)),0)</f>
        <v>0</v>
      </c>
      <c r="K14" s="63" t="n">
        <f aca="false">IFERROR(SMALL(IF(ISNUMBER('📣 Marketing Engine'!$P$14:$P$63),'📣 Marketing Engine'!$P$14:$P$63,10000000000),9),0)</f>
        <v>0</v>
      </c>
    </row>
    <row r="15" customFormat="false" ht="21.75" hidden="false" customHeight="true" outlineLevel="0" collapsed="false">
      <c r="A15" s="97" t="n">
        <v>10</v>
      </c>
      <c r="B15" s="62" t="n">
        <f aca="false">IFERROR(INDEX('📣 Marketing Engine'!$C$14:$C$63,MATCH(LARGE(IF(ISNUMBER('📣 Marketing Engine'!$P$14:$P$63),'📣 Marketing Engine'!$P$14:$P$63,-10000000000),10),IF(ISNUMBER('📣 Marketing Engine'!$P$14:$P$63),'📣 Marketing Engine'!$P$14:$P$63,-10000000000),0)),"-")</f>
        <v>0</v>
      </c>
      <c r="C15" s="62" t="n">
        <f aca="false">IFERROR(INDEX('📣 Marketing Engine'!$B$14:$B$63,MATCH(LARGE(IF(ISNUMBER('📣 Marketing Engine'!$P$14:$P$63),'📣 Marketing Engine'!$P$14:$P$63,-10000000000),10),IF(ISNUMBER('📣 Marketing Engine'!$P$14:$P$63),'📣 Marketing Engine'!$P$14:$P$63,-10000000000),0)),"-")</f>
        <v>0</v>
      </c>
      <c r="D15" s="95" t="n">
        <f aca="false">IFERROR(LARGE(IF(ISNUMBER('📣 Marketing Engine'!$P$14:$P$63),'📣 Marketing Engine'!$P$14:$P$63,-10000000000),10),0)</f>
        <v>0</v>
      </c>
      <c r="E15" s="110" t="n">
        <f aca="false">IFERROR(INDEX('📣 Marketing Engine'!$Q$14:$Q$63,MATCH(LARGE(IF(ISNUMBER('📣 Marketing Engine'!$P$14:$P$63),'📣 Marketing Engine'!$P$14:$P$63,-10000000000),10),IF(ISNUMBER('📣 Marketing Engine'!$P$14:$P$63),'📣 Marketing Engine'!$P$14:$P$63,-10000000000),0)),"-")</f>
        <v>0</v>
      </c>
      <c r="H15" s="97" t="n">
        <v>10</v>
      </c>
      <c r="I15" s="62" t="n">
        <f aca="false">IFERROR(INDEX('📣 Marketing Engine'!$C$14:$C$63,MATCH(SMALL(IF(ISNUMBER('📣 Marketing Engine'!$P$14:$P$63),'📣 Marketing Engine'!$P$14:$P$63,10000000000),10),IF(ISNUMBER('📣 Marketing Engine'!$P$14:$P$63),'📣 Marketing Engine'!$P$14:$P$63,10000000000),0)),"-")</f>
        <v>0</v>
      </c>
      <c r="J15" s="95" t="n">
        <f aca="false">IFERROR(INDEX('📣 Marketing Engine'!$D$14:$D$63,MATCH(SMALL(IF(ISNUMBER('📣 Marketing Engine'!$P$14:$P$63),'📣 Marketing Engine'!$P$14:$P$63,10000000000),10),IF(ISNUMBER('📣 Marketing Engine'!$P$14:$P$63),'📣 Marketing Engine'!$P$14:$P$63,10000000000),0)),0)</f>
        <v>0</v>
      </c>
      <c r="K15" s="95" t="n">
        <f aca="false">IFERROR(SMALL(IF(ISNUMBER('📣 Marketing Engine'!$P$14:$P$63),'📣 Marketing Engine'!$P$14:$P$63,10000000000),10),0)</f>
        <v>0</v>
      </c>
    </row>
    <row r="16" customFormat="false" ht="21.75" hidden="false" customHeight="true" outlineLevel="0" collapsed="false">
      <c r="A16" s="8" t="s">
        <v>488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customFormat="false" ht="21.75" hidden="false" customHeight="true" outlineLevel="0" collapsed="false">
      <c r="A17" s="22" t="s">
        <v>485</v>
      </c>
      <c r="B17" s="22" t="s">
        <v>489</v>
      </c>
      <c r="C17" s="22" t="s">
        <v>490</v>
      </c>
      <c r="D17" s="22" t="s">
        <v>308</v>
      </c>
      <c r="E17" s="22" t="s">
        <v>486</v>
      </c>
      <c r="F17" s="22" t="s">
        <v>491</v>
      </c>
      <c r="G17" s="22" t="s">
        <v>492</v>
      </c>
    </row>
    <row r="18" customFormat="false" ht="21.75" hidden="false" customHeight="true" outlineLevel="0" collapsed="false">
      <c r="A18" s="62" t="s">
        <v>493</v>
      </c>
      <c r="B18" s="95" t="n">
        <f aca="false">IFERROR(SUMIF('📣 Marketing Engine'!B14:B63,"Facebook Ads",'📣 Marketing Engine'!D14:D63),0)</f>
        <v>0</v>
      </c>
      <c r="C18" s="95" t="n">
        <f aca="false">IFERROR(SUMIF('📣 Marketing Engine'!B14:B63,"Facebook Ads",'📣 Marketing Engine'!N14:N63),0)</f>
        <v>0</v>
      </c>
      <c r="D18" s="95" t="n">
        <f aca="false">IFERROR(SUMIFS('📣 Marketing Engine'!P14:P63,'📣 Marketing Engine'!B14:B63,"Facebook Ads"),0)</f>
        <v>0</v>
      </c>
      <c r="E18" s="110" t="n">
        <f aca="false">IFERROR(C18/MAX(1,B18),0)</f>
        <v>0</v>
      </c>
      <c r="F18" s="96" t="n">
        <f aca="false">IFERROR(D18/MAX(1,B18),0)</f>
        <v>0</v>
      </c>
      <c r="G18" s="111" t="n">
        <f aca="false">COUNTIF('📣 Marketing Engine'!B14:B63,"Facebook Ads")</f>
        <v>0</v>
      </c>
    </row>
    <row r="19" customFormat="false" ht="21.75" hidden="false" customHeight="true" outlineLevel="0" collapsed="false">
      <c r="A19" s="91" t="s">
        <v>494</v>
      </c>
      <c r="B19" s="63" t="n">
        <f aca="false">IFERROR(SUMIF('📣 Marketing Engine'!B14:B63,"Google Ads (Search)",'📣 Marketing Engine'!D14:D63),0)</f>
        <v>0</v>
      </c>
      <c r="C19" s="63" t="n">
        <f aca="false">IFERROR(SUMIF('📣 Marketing Engine'!B14:B63,"Google Ads (Search)",'📣 Marketing Engine'!N14:N63),0)</f>
        <v>0</v>
      </c>
      <c r="D19" s="63" t="n">
        <f aca="false">IFERROR(SUMIFS('📣 Marketing Engine'!P14:P63,'📣 Marketing Engine'!B14:B63,"Google Ads (Search)"),0)</f>
        <v>0</v>
      </c>
      <c r="E19" s="109" t="n">
        <f aca="false">IFERROR(C19/MAX(1,B19),0)</f>
        <v>0</v>
      </c>
      <c r="F19" s="92" t="n">
        <f aca="false">IFERROR(D19/MAX(1,B19),0)</f>
        <v>0</v>
      </c>
      <c r="G19" s="112" t="n">
        <f aca="false">COUNTIF('📣 Marketing Engine'!B14:B63,"Google Ads (Search)")</f>
        <v>0</v>
      </c>
    </row>
    <row r="20" customFormat="false" ht="21.75" hidden="false" customHeight="true" outlineLevel="0" collapsed="false">
      <c r="A20" s="62" t="s">
        <v>495</v>
      </c>
      <c r="B20" s="95" t="n">
        <f aca="false">IFERROR(SUMIF('📣 Marketing Engine'!B14:B63,"Instagram Ads",'📣 Marketing Engine'!D14:D63),0)</f>
        <v>0</v>
      </c>
      <c r="C20" s="95" t="n">
        <f aca="false">IFERROR(SUMIF('📣 Marketing Engine'!B14:B63,"Instagram Ads",'📣 Marketing Engine'!N14:N63),0)</f>
        <v>0</v>
      </c>
      <c r="D20" s="95" t="n">
        <f aca="false">IFERROR(SUMIFS('📣 Marketing Engine'!P14:P63,'📣 Marketing Engine'!B14:B63,"Instagram Ads"),0)</f>
        <v>0</v>
      </c>
      <c r="E20" s="110" t="n">
        <f aca="false">IFERROR(C20/MAX(1,B20),0)</f>
        <v>0</v>
      </c>
      <c r="F20" s="96" t="n">
        <f aca="false">IFERROR(D20/MAX(1,B20),0)</f>
        <v>0</v>
      </c>
      <c r="G20" s="111" t="n">
        <f aca="false">COUNTIF('📣 Marketing Engine'!B14:B63,"Instagram Ads")</f>
        <v>0</v>
      </c>
    </row>
    <row r="21" customFormat="false" ht="21.75" hidden="false" customHeight="true" outlineLevel="0" collapsed="false">
      <c r="A21" s="91" t="s">
        <v>496</v>
      </c>
      <c r="B21" s="63" t="n">
        <f aca="false">IFERROR(SUMIF('📣 Marketing Engine'!B14:B63,"Email Marketing",'📣 Marketing Engine'!D14:D63),0)</f>
        <v>0</v>
      </c>
      <c r="C21" s="63" t="n">
        <f aca="false">IFERROR(SUMIF('📣 Marketing Engine'!B14:B63,"Email Marketing",'📣 Marketing Engine'!N14:N63),0)</f>
        <v>0</v>
      </c>
      <c r="D21" s="63" t="n">
        <f aca="false">IFERROR(SUMIFS('📣 Marketing Engine'!P14:P63,'📣 Marketing Engine'!B14:B63,"Email Marketing"),0)</f>
        <v>0</v>
      </c>
      <c r="E21" s="109" t="n">
        <f aca="false">IFERROR(C21/MAX(1,B21),0)</f>
        <v>0</v>
      </c>
      <c r="F21" s="92" t="n">
        <f aca="false">IFERROR(D21/MAX(1,B21),0)</f>
        <v>0</v>
      </c>
      <c r="G21" s="112" t="n">
        <f aca="false">COUNTIF('📣 Marketing Engine'!B14:B63,"Email Marketing")</f>
        <v>0</v>
      </c>
    </row>
    <row r="22" customFormat="false" ht="21.75" hidden="false" customHeight="true" outlineLevel="0" collapsed="false">
      <c r="A22" s="62" t="s">
        <v>497</v>
      </c>
      <c r="B22" s="95" t="n">
        <f aca="false">IFERROR(SUMIF('📣 Marketing Engine'!B14:B63,"Trade Show / Exhibition",'📣 Marketing Engine'!D14:D63),0)</f>
        <v>0</v>
      </c>
      <c r="C22" s="95" t="n">
        <f aca="false">IFERROR(SUMIF('📣 Marketing Engine'!B14:B63,"Trade Show / Exhibition",'📣 Marketing Engine'!N14:N63),0)</f>
        <v>0</v>
      </c>
      <c r="D22" s="95" t="n">
        <f aca="false">IFERROR(SUMIFS('📣 Marketing Engine'!P14:P63,'📣 Marketing Engine'!B14:B63,"Trade Show / Exhibition"),0)</f>
        <v>0</v>
      </c>
      <c r="E22" s="110" t="n">
        <f aca="false">IFERROR(C22/MAX(1,B22),0)</f>
        <v>0</v>
      </c>
      <c r="F22" s="96" t="n">
        <f aca="false">IFERROR(D22/MAX(1,B22),0)</f>
        <v>0</v>
      </c>
      <c r="G22" s="111" t="n">
        <f aca="false">COUNTIF('📣 Marketing Engine'!B14:B63,"Trade Show / Exhibition")</f>
        <v>0</v>
      </c>
    </row>
    <row r="23" customFormat="false" ht="21.75" hidden="false" customHeight="true" outlineLevel="0" collapsed="false">
      <c r="A23" s="91" t="s">
        <v>498</v>
      </c>
      <c r="B23" s="63" t="n">
        <f aca="false">IFERROR(SUMIF('📣 Marketing Engine'!B14:B63,"LinkedIn Ads",'📣 Marketing Engine'!D14:D63),0)</f>
        <v>0</v>
      </c>
      <c r="C23" s="63" t="n">
        <f aca="false">IFERROR(SUMIF('📣 Marketing Engine'!B14:B63,"LinkedIn Ads",'📣 Marketing Engine'!N14:N63),0)</f>
        <v>0</v>
      </c>
      <c r="D23" s="63" t="n">
        <f aca="false">IFERROR(SUMIFS('📣 Marketing Engine'!P14:P63,'📣 Marketing Engine'!B14:B63,"LinkedIn Ads"),0)</f>
        <v>0</v>
      </c>
      <c r="E23" s="109" t="n">
        <f aca="false">IFERROR(C23/MAX(1,B23),0)</f>
        <v>0</v>
      </c>
      <c r="F23" s="92" t="n">
        <f aca="false">IFERROR(D23/MAX(1,B23),0)</f>
        <v>0</v>
      </c>
      <c r="G23" s="112" t="n">
        <f aca="false">COUNTIF('📣 Marketing Engine'!B14:B63,"LinkedIn Ads")</f>
        <v>0</v>
      </c>
    </row>
    <row r="24" customFormat="false" ht="21.75" hidden="false" customHeight="true" outlineLevel="0" collapsed="false">
      <c r="A24" s="62" t="s">
        <v>499</v>
      </c>
      <c r="B24" s="95" t="n">
        <f aca="false">IFERROR(SUMIF('📣 Marketing Engine'!B14:B63,"Leaflets / Flyers",'📣 Marketing Engine'!D14:D63),0)</f>
        <v>0</v>
      </c>
      <c r="C24" s="95" t="n">
        <f aca="false">IFERROR(SUMIF('📣 Marketing Engine'!B14:B63,"Leaflets / Flyers",'📣 Marketing Engine'!N14:N63),0)</f>
        <v>0</v>
      </c>
      <c r="D24" s="95" t="n">
        <f aca="false">IFERROR(SUMIFS('📣 Marketing Engine'!P14:P63,'📣 Marketing Engine'!B14:B63,"Leaflets / Flyers"),0)</f>
        <v>0</v>
      </c>
      <c r="E24" s="110" t="n">
        <f aca="false">IFERROR(C24/MAX(1,B24),0)</f>
        <v>0</v>
      </c>
      <c r="F24" s="96" t="n">
        <f aca="false">IFERROR(D24/MAX(1,B24),0)</f>
        <v>0</v>
      </c>
      <c r="G24" s="111" t="n">
        <f aca="false">COUNTIF('📣 Marketing Engine'!B14:B63,"Leaflets / Flyers")</f>
        <v>0</v>
      </c>
    </row>
  </sheetData>
  <mergeCells count="4">
    <mergeCell ref="A1:M1"/>
    <mergeCell ref="A2:M2"/>
    <mergeCell ref="A4:M4"/>
    <mergeCell ref="A16:M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22"/>
    <col collapsed="false" customWidth="true" hidden="false" outlineLevel="0" max="22" min="4" style="1" width="12"/>
    <col collapsed="false" customWidth="true" hidden="false" outlineLevel="0" max="23" min="23" style="1" width="30"/>
  </cols>
  <sheetData>
    <row r="1" customFormat="false" ht="27.75" hidden="false" customHeight="true" outlineLevel="0" collapsed="false">
      <c r="A1" s="14" t="s">
        <v>500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customFormat="false" ht="15" hidden="false" customHeight="true" outlineLevel="0" collapsed="false">
      <c r="A2" s="15" t="s">
        <v>501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customFormat="false" ht="15" hidden="false" customHeight="true" outlineLevel="0" collapsed="false">
      <c r="A3" s="29" t="s">
        <v>502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customFormat="false" ht="21.75" hidden="false" customHeight="true" outlineLevel="0" collapsed="false">
      <c r="A4" s="8" t="s">
        <v>503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21.75" hidden="false" customHeight="true" outlineLevel="0" collapsed="false">
      <c r="A5" s="10" t="s">
        <v>504</v>
      </c>
      <c r="B5" s="10"/>
      <c r="C5" s="10"/>
      <c r="D5" s="10"/>
      <c r="E5" s="67" t="n">
        <v>1</v>
      </c>
    </row>
    <row r="6" customFormat="false" ht="21.75" hidden="false" customHeight="true" outlineLevel="0" collapsed="false">
      <c r="A6" s="10" t="s">
        <v>505</v>
      </c>
      <c r="B6" s="10"/>
      <c r="C6" s="10"/>
      <c r="D6" s="10"/>
      <c r="E6" s="67" t="n">
        <v>0.5</v>
      </c>
    </row>
    <row r="13" customFormat="false" ht="48" hidden="false" customHeight="true" outlineLevel="0" collapsed="false">
      <c r="B13" s="74" t="s">
        <v>506</v>
      </c>
      <c r="C13" s="74" t="s">
        <v>485</v>
      </c>
      <c r="D13" s="74" t="s">
        <v>507</v>
      </c>
      <c r="E13" s="74" t="s">
        <v>487</v>
      </c>
      <c r="F13" s="74" t="s">
        <v>508</v>
      </c>
      <c r="G13" s="74" t="s">
        <v>509</v>
      </c>
      <c r="H13" s="74" t="s">
        <v>510</v>
      </c>
      <c r="I13" s="74" t="s">
        <v>511</v>
      </c>
      <c r="J13" s="74" t="s">
        <v>512</v>
      </c>
      <c r="K13" s="74" t="s">
        <v>513</v>
      </c>
      <c r="L13" s="74" t="s">
        <v>514</v>
      </c>
      <c r="M13" s="74" t="s">
        <v>515</v>
      </c>
      <c r="N13" s="74" t="s">
        <v>516</v>
      </c>
      <c r="O13" s="74" t="s">
        <v>517</v>
      </c>
      <c r="P13" s="74" t="s">
        <v>518</v>
      </c>
      <c r="Q13" s="74" t="s">
        <v>519</v>
      </c>
      <c r="R13" s="74" t="s">
        <v>520</v>
      </c>
      <c r="S13" s="74" t="s">
        <v>521</v>
      </c>
      <c r="T13" s="74" t="s">
        <v>522</v>
      </c>
      <c r="U13" s="74" t="s">
        <v>523</v>
      </c>
      <c r="V13" s="74" t="s">
        <v>524</v>
      </c>
      <c r="X13" s="74" t="s">
        <v>525</v>
      </c>
    </row>
    <row r="14" customFormat="false" ht="21.75" hidden="false" customHeight="true" outlineLevel="0" collapsed="false">
      <c r="B14" s="99" t="n">
        <v>1</v>
      </c>
      <c r="C14" s="99" t="s">
        <v>494</v>
      </c>
      <c r="D14" s="99" t="s">
        <v>526</v>
      </c>
      <c r="E14" s="79" t="n">
        <v>2400</v>
      </c>
      <c r="F14" s="99" t="s">
        <v>527</v>
      </c>
      <c r="G14" s="79" t="n">
        <v>142</v>
      </c>
      <c r="H14" s="79" t="n">
        <v>28</v>
      </c>
      <c r="I14" s="79" t="n">
        <v>8960</v>
      </c>
      <c r="J14" s="99" t="n">
        <v>320</v>
      </c>
      <c r="K14" s="78" t="n">
        <f aca="false">IFERROR(E14/MAX(1,G14),0)</f>
        <v>16.9014084507042</v>
      </c>
      <c r="L14" s="78" t="n">
        <f aca="false">IFERROR(E14/MAX(1,H14),0)</f>
        <v>85.7142857142857</v>
      </c>
      <c r="M14" s="81" t="n">
        <f aca="false">IFERROR(H14/MAX(1,G14),0)</f>
        <v>0.197183098591549</v>
      </c>
      <c r="N14" s="82" t="n">
        <f aca="false">IFERROR(I14*H14,0)</f>
        <v>250880</v>
      </c>
      <c r="O14" s="82" t="n">
        <f aca="false">IFERROR(0,0)</f>
        <v>0</v>
      </c>
      <c r="P14" s="82" t="n">
        <f aca="false">IFERROR(N14*$E$6-E14,0)</f>
        <v>123040</v>
      </c>
      <c r="Q14" s="113" t="n">
        <f aca="false">IFERROR(N14/MAX(1,E14),0)</f>
        <v>104.533333333333</v>
      </c>
      <c r="R14" s="81" t="n">
        <f aca="false">IFERROR(P14/E14,0)</f>
        <v>51.2666666666667</v>
      </c>
      <c r="S14" s="81" t="n">
        <f aca="false">IFERROR(P14/MAX(1,SUMIF(P14:P63,"&gt;-1E10")),0)</f>
        <v>0.153043391732124</v>
      </c>
      <c r="T14" s="114" t="n">
        <f aca="false">IFERROR(IF(P14&gt;0,E14/P14*30,0),0)</f>
        <v>0.5851755526658</v>
      </c>
      <c r="U14" s="115" t="str">
        <f aca="false">IF(P14&gt;=0,IF(R14&gt;=$E$5,"🟢 Profitable","🟡 Watch"),"🔴 Loss-Making")</f>
        <v>🟢 Profitable</v>
      </c>
      <c r="W14" s="115" t="str">
        <f aca="false">IF(P14&lt;0,"STOP OR REPRICE - campaign is loss-making",IF(R14&gt;=$E$5,"SCALE - exceeds ROI target","OPTIMISE - profitable but below target ROI"))</f>
        <v>SCALE - exceeds ROI target</v>
      </c>
    </row>
    <row r="15" customFormat="false" ht="21.75" hidden="false" customHeight="true" outlineLevel="0" collapsed="false">
      <c r="B15" s="99" t="n">
        <v>2</v>
      </c>
      <c r="C15" s="99" t="s">
        <v>493</v>
      </c>
      <c r="D15" s="99" t="s">
        <v>528</v>
      </c>
      <c r="E15" s="79" t="n">
        <v>850</v>
      </c>
      <c r="F15" s="99" t="s">
        <v>529</v>
      </c>
      <c r="G15" s="79" t="n">
        <v>98</v>
      </c>
      <c r="H15" s="79" t="n">
        <v>15</v>
      </c>
      <c r="I15" s="79" t="n">
        <v>3750</v>
      </c>
      <c r="J15" s="99" t="n">
        <v>250</v>
      </c>
      <c r="K15" s="78" t="n">
        <f aca="false">IFERROR(E15/MAX(1,G15),0)</f>
        <v>8.6734693877551</v>
      </c>
      <c r="L15" s="78" t="n">
        <f aca="false">IFERROR(E15/MAX(1,H15),0)</f>
        <v>56.6666666666667</v>
      </c>
      <c r="M15" s="81" t="n">
        <f aca="false">IFERROR(H15/MAX(1,G15),0)</f>
        <v>0.153061224489796</v>
      </c>
      <c r="N15" s="82" t="n">
        <f aca="false">IFERROR(I15*H15,0)</f>
        <v>56250</v>
      </c>
      <c r="O15" s="82" t="n">
        <f aca="false">IFERROR(0,0)</f>
        <v>0</v>
      </c>
      <c r="P15" s="82" t="n">
        <f aca="false">IFERROR(N15*$E$6-E15,0)</f>
        <v>27275</v>
      </c>
      <c r="Q15" s="113" t="n">
        <f aca="false">IFERROR(N15/MAX(1,E15),0)</f>
        <v>66.1764705882353</v>
      </c>
      <c r="R15" s="81" t="n">
        <f aca="false">IFERROR(P15/E15,0)</f>
        <v>32.0882352941176</v>
      </c>
      <c r="S15" s="81" t="n">
        <f aca="false">IFERROR(P15/MAX(1,SUMIF(P14:P63,"&gt;-1E10")),0)</f>
        <v>0.0339260281980957</v>
      </c>
      <c r="T15" s="114" t="n">
        <f aca="false">IFERROR(IF(P15&gt;0,E15/P15*30,0),0)</f>
        <v>0.934922089825848</v>
      </c>
      <c r="U15" s="115" t="str">
        <f aca="false">IF(P15&gt;=0,IF(R15&gt;=$E$5,"🟢 Profitable","🟡 Watch"),"🔴 Loss-Making")</f>
        <v>🟢 Profitable</v>
      </c>
      <c r="W15" s="115" t="str">
        <f aca="false">IF(P15&lt;0,"STOP OR REPRICE - campaign is loss-making",IF(R15&gt;=$E$5,"SCALE - exceeds ROI target","OPTIMISE - profitable but below target ROI"))</f>
        <v>SCALE - exceeds ROI target</v>
      </c>
    </row>
    <row r="16" customFormat="false" ht="21.75" hidden="false" customHeight="true" outlineLevel="0" collapsed="false">
      <c r="B16" s="99" t="n">
        <v>3</v>
      </c>
      <c r="C16" s="99" t="s">
        <v>496</v>
      </c>
      <c r="D16" s="99" t="s">
        <v>530</v>
      </c>
      <c r="E16" s="79" t="n">
        <v>180</v>
      </c>
      <c r="F16" s="99" t="s">
        <v>531</v>
      </c>
      <c r="G16" s="79" t="n">
        <v>65</v>
      </c>
      <c r="H16" s="79" t="n">
        <v>22</v>
      </c>
      <c r="I16" s="79" t="n">
        <v>4840</v>
      </c>
      <c r="J16" s="99" t="n">
        <v>220</v>
      </c>
      <c r="K16" s="78" t="n">
        <f aca="false">IFERROR(E16/MAX(1,G16),0)</f>
        <v>2.76923076923077</v>
      </c>
      <c r="L16" s="78" t="n">
        <f aca="false">IFERROR(E16/MAX(1,H16),0)</f>
        <v>8.18181818181818</v>
      </c>
      <c r="M16" s="81" t="n">
        <f aca="false">IFERROR(H16/MAX(1,G16),0)</f>
        <v>0.338461538461539</v>
      </c>
      <c r="N16" s="82" t="n">
        <f aca="false">IFERROR(I16*H16,0)</f>
        <v>106480</v>
      </c>
      <c r="O16" s="82" t="n">
        <f aca="false">IFERROR(0,0)</f>
        <v>0</v>
      </c>
      <c r="P16" s="82" t="n">
        <f aca="false">IFERROR(N16*$E$6-E16,0)</f>
        <v>53060</v>
      </c>
      <c r="Q16" s="113" t="n">
        <f aca="false">IFERROR(N16/MAX(1,E16),0)</f>
        <v>591.555555555556</v>
      </c>
      <c r="R16" s="81" t="n">
        <f aca="false">IFERROR(P16/E16,0)</f>
        <v>294.777777777778</v>
      </c>
      <c r="S16" s="81" t="n">
        <f aca="false">IFERROR(P16/MAX(1,SUMIF(P14:P63,"&gt;-1E10")),0)</f>
        <v>0.0659987188337656</v>
      </c>
      <c r="T16" s="114" t="n">
        <f aca="false">IFERROR(IF(P16&gt;0,E16/P16*30,0),0)</f>
        <v>0.101771579344139</v>
      </c>
      <c r="U16" s="115" t="str">
        <f aca="false">IF(P16&gt;=0,IF(R16&gt;=$E$5,"🟢 Profitable","🟡 Watch"),"🔴 Loss-Making")</f>
        <v>🟢 Profitable</v>
      </c>
      <c r="W16" s="115" t="str">
        <f aca="false">IF(P16&lt;0,"STOP OR REPRICE - campaign is loss-making",IF(R16&gt;=$E$5,"SCALE - exceeds ROI target","OPTIMISE - profitable but below target ROI"))</f>
        <v>SCALE - exceeds ROI target</v>
      </c>
    </row>
    <row r="17" customFormat="false" ht="21.75" hidden="false" customHeight="true" outlineLevel="0" collapsed="false">
      <c r="B17" s="99" t="n">
        <v>4</v>
      </c>
      <c r="C17" s="99" t="s">
        <v>495</v>
      </c>
      <c r="D17" s="99" t="s">
        <v>532</v>
      </c>
      <c r="E17" s="79" t="n">
        <v>1200</v>
      </c>
      <c r="F17" s="99" t="s">
        <v>533</v>
      </c>
      <c r="G17" s="79" t="n">
        <v>88</v>
      </c>
      <c r="H17" s="79" t="n">
        <v>12</v>
      </c>
      <c r="I17" s="79" t="n">
        <v>2880</v>
      </c>
      <c r="J17" s="99" t="n">
        <v>240</v>
      </c>
      <c r="K17" s="78" t="n">
        <f aca="false">IFERROR(E17/MAX(1,G17),0)</f>
        <v>13.6363636363636</v>
      </c>
      <c r="L17" s="78" t="n">
        <f aca="false">IFERROR(E17/MAX(1,H17),0)</f>
        <v>100</v>
      </c>
      <c r="M17" s="81" t="n">
        <f aca="false">IFERROR(H17/MAX(1,G17),0)</f>
        <v>0.136363636363636</v>
      </c>
      <c r="N17" s="82" t="n">
        <f aca="false">IFERROR(I17*H17,0)</f>
        <v>34560</v>
      </c>
      <c r="O17" s="82" t="n">
        <f aca="false">IFERROR(0,0)</f>
        <v>0</v>
      </c>
      <c r="P17" s="82" t="n">
        <f aca="false">IFERROR(N17*$E$6-E17,0)</f>
        <v>16080</v>
      </c>
      <c r="Q17" s="113" t="n">
        <f aca="false">IFERROR(N17/MAX(1,E17),0)</f>
        <v>28.8</v>
      </c>
      <c r="R17" s="81" t="n">
        <f aca="false">IFERROR(P17/E17,0)</f>
        <v>13.4</v>
      </c>
      <c r="S17" s="81" t="n">
        <f aca="false">IFERROR(P17/MAX(1,SUMIF(P14:P63,"&gt;-1E10")),0)</f>
        <v>0.0200011194656417</v>
      </c>
      <c r="T17" s="114" t="n">
        <f aca="false">IFERROR(IF(P17&gt;0,E17/P17*30,0),0)</f>
        <v>2.23880597014925</v>
      </c>
      <c r="U17" s="115" t="str">
        <f aca="false">IF(P17&gt;=0,IF(R17&gt;=$E$5,"🟢 Profitable","🟡 Watch"),"🔴 Loss-Making")</f>
        <v>🟢 Profitable</v>
      </c>
      <c r="W17" s="115" t="str">
        <f aca="false">IF(P17&lt;0,"STOP OR REPRICE - campaign is loss-making",IF(R17&gt;=$E$5,"SCALE - exceeds ROI target","OPTIMISE - profitable but below target ROI"))</f>
        <v>SCALE - exceeds ROI target</v>
      </c>
    </row>
    <row r="18" customFormat="false" ht="21.75" hidden="false" customHeight="true" outlineLevel="0" collapsed="false">
      <c r="B18" s="99" t="n">
        <v>5</v>
      </c>
      <c r="C18" s="99" t="s">
        <v>497</v>
      </c>
      <c r="D18" s="99" t="s">
        <v>534</v>
      </c>
      <c r="E18" s="79" t="n">
        <v>3800</v>
      </c>
      <c r="F18" s="99" t="s">
        <v>535</v>
      </c>
      <c r="G18" s="79" t="n">
        <v>210</v>
      </c>
      <c r="H18" s="79" t="n">
        <v>42</v>
      </c>
      <c r="I18" s="79" t="n">
        <v>18900</v>
      </c>
      <c r="J18" s="99" t="n">
        <v>450</v>
      </c>
      <c r="K18" s="78" t="n">
        <f aca="false">IFERROR(E18/MAX(1,G18),0)</f>
        <v>18.0952380952381</v>
      </c>
      <c r="L18" s="78" t="n">
        <f aca="false">IFERROR(E18/MAX(1,H18),0)</f>
        <v>90.4761904761905</v>
      </c>
      <c r="M18" s="81" t="n">
        <f aca="false">IFERROR(H18/MAX(1,G18),0)</f>
        <v>0.2</v>
      </c>
      <c r="N18" s="82" t="n">
        <f aca="false">IFERROR(I18*H18,0)</f>
        <v>793800</v>
      </c>
      <c r="O18" s="82" t="n">
        <f aca="false">IFERROR(0,0)</f>
        <v>0</v>
      </c>
      <c r="P18" s="82" t="n">
        <f aca="false">IFERROR(N18*$E$6-E18,0)</f>
        <v>393100</v>
      </c>
      <c r="Q18" s="113" t="n">
        <f aca="false">IFERROR(N18/MAX(1,E18),0)</f>
        <v>208.894736842105</v>
      </c>
      <c r="R18" s="81" t="n">
        <f aca="false">IFERROR(P18/E18,0)</f>
        <v>103.447368421053</v>
      </c>
      <c r="S18" s="81" t="n">
        <f aca="false">IFERROR(P18/MAX(1,SUMIF(P14:P63,"&gt;-1E10")),0)</f>
        <v>0.48895771529501</v>
      </c>
      <c r="T18" s="114" t="n">
        <f aca="false">IFERROR(IF(P18&gt;0,E18/P18*30,0),0)</f>
        <v>0.290002543881964</v>
      </c>
      <c r="U18" s="115" t="str">
        <f aca="false">IF(P18&gt;=0,IF(R18&gt;=$E$5,"🟢 Profitable","🟡 Watch"),"🔴 Loss-Making")</f>
        <v>🟢 Profitable</v>
      </c>
      <c r="W18" s="115" t="str">
        <f aca="false">IF(P18&lt;0,"STOP OR REPRICE - campaign is loss-making",IF(R18&gt;=$E$5,"SCALE - exceeds ROI target","OPTIMISE - profitable but below target ROI"))</f>
        <v>SCALE - exceeds ROI target</v>
      </c>
    </row>
    <row r="19" customFormat="false" ht="21.75" hidden="false" customHeight="true" outlineLevel="0" collapsed="false">
      <c r="B19" s="99" t="n">
        <v>6</v>
      </c>
      <c r="C19" s="99" t="s">
        <v>498</v>
      </c>
      <c r="D19" s="99" t="s">
        <v>536</v>
      </c>
      <c r="E19" s="79" t="n">
        <v>950</v>
      </c>
      <c r="F19" s="99" t="s">
        <v>537</v>
      </c>
      <c r="G19" s="79" t="n">
        <v>45</v>
      </c>
      <c r="H19" s="79" t="n">
        <v>8</v>
      </c>
      <c r="I19" s="79" t="n">
        <v>3200</v>
      </c>
      <c r="J19" s="99" t="n">
        <v>400</v>
      </c>
      <c r="K19" s="78" t="n">
        <f aca="false">IFERROR(E19/MAX(1,G19),0)</f>
        <v>21.1111111111111</v>
      </c>
      <c r="L19" s="78" t="n">
        <f aca="false">IFERROR(E19/MAX(1,H19),0)</f>
        <v>118.75</v>
      </c>
      <c r="M19" s="81" t="n">
        <f aca="false">IFERROR(H19/MAX(1,G19),0)</f>
        <v>0.177777777777778</v>
      </c>
      <c r="N19" s="82" t="n">
        <f aca="false">IFERROR(I19*H19,0)</f>
        <v>25600</v>
      </c>
      <c r="O19" s="82" t="n">
        <f aca="false">IFERROR(0,0)</f>
        <v>0</v>
      </c>
      <c r="P19" s="82" t="n">
        <f aca="false">IFERROR(N19*$E$6-E19,0)</f>
        <v>11850</v>
      </c>
      <c r="Q19" s="113" t="n">
        <f aca="false">IFERROR(N19/MAX(1,E19),0)</f>
        <v>26.9473684210526</v>
      </c>
      <c r="R19" s="81" t="n">
        <f aca="false">IFERROR(P19/E19,0)</f>
        <v>12.4736842105263</v>
      </c>
      <c r="S19" s="81" t="n">
        <f aca="false">IFERROR(P19/MAX(1,SUMIF(P14:P63,"&gt;-1E10")),0)</f>
        <v>0.0147396309494934</v>
      </c>
      <c r="T19" s="114" t="n">
        <f aca="false">IFERROR(IF(P19&gt;0,E19/P19*30,0),0)</f>
        <v>2.40506329113924</v>
      </c>
      <c r="U19" s="115" t="str">
        <f aca="false">IF(P19&gt;=0,IF(R19&gt;=$E$5,"🟢 Profitable","🟡 Watch"),"🔴 Loss-Making")</f>
        <v>🟢 Profitable</v>
      </c>
      <c r="W19" s="115" t="str">
        <f aca="false">IF(P19&lt;0,"STOP OR REPRICE - campaign is loss-making",IF(R19&gt;=$E$5,"SCALE - exceeds ROI target","OPTIMISE - profitable but below target ROI"))</f>
        <v>SCALE - exceeds ROI target</v>
      </c>
    </row>
    <row r="20" customFormat="false" ht="21.75" hidden="false" customHeight="true" outlineLevel="0" collapsed="false">
      <c r="B20" s="99" t="n">
        <v>7</v>
      </c>
      <c r="C20" s="99" t="s">
        <v>494</v>
      </c>
      <c r="D20" s="99" t="s">
        <v>538</v>
      </c>
      <c r="E20" s="79" t="n">
        <v>1800</v>
      </c>
      <c r="F20" s="99" t="s">
        <v>539</v>
      </c>
      <c r="G20" s="79" t="n">
        <v>168</v>
      </c>
      <c r="H20" s="79" t="n">
        <v>35</v>
      </c>
      <c r="I20" s="79" t="n">
        <v>9800</v>
      </c>
      <c r="J20" s="99" t="n">
        <v>280</v>
      </c>
      <c r="K20" s="78" t="n">
        <f aca="false">IFERROR(E20/MAX(1,G20),0)</f>
        <v>10.7142857142857</v>
      </c>
      <c r="L20" s="78" t="n">
        <f aca="false">IFERROR(E20/MAX(1,H20),0)</f>
        <v>51.4285714285714</v>
      </c>
      <c r="M20" s="81" t="n">
        <f aca="false">IFERROR(H20/MAX(1,G20),0)</f>
        <v>0.208333333333333</v>
      </c>
      <c r="N20" s="82" t="n">
        <f aca="false">IFERROR(I20*H20,0)</f>
        <v>343000</v>
      </c>
      <c r="O20" s="82" t="n">
        <f aca="false">IFERROR(0,0)</f>
        <v>0</v>
      </c>
      <c r="P20" s="82" t="n">
        <f aca="false">IFERROR(N20*$E$6-E20,0)</f>
        <v>169700</v>
      </c>
      <c r="Q20" s="113" t="n">
        <f aca="false">IFERROR(N20/MAX(1,E20),0)</f>
        <v>190.555555555556</v>
      </c>
      <c r="R20" s="81" t="n">
        <f aca="false">IFERROR(P20/E20,0)</f>
        <v>94.2777777777778</v>
      </c>
      <c r="S20" s="81" t="n">
        <f aca="false">IFERROR(P20/MAX(1,SUMIF(P14:P63,"&gt;-1E10")),0)</f>
        <v>0.21108146600245</v>
      </c>
      <c r="T20" s="114" t="n">
        <f aca="false">IFERROR(IF(P20&gt;0,E20/P20*30,0),0)</f>
        <v>0.318208603417796</v>
      </c>
      <c r="U20" s="115" t="str">
        <f aca="false">IF(P20&gt;=0,IF(R20&gt;=$E$5,"🟢 Profitable","🟡 Watch"),"🔴 Loss-Making")</f>
        <v>🟢 Profitable</v>
      </c>
      <c r="W20" s="115" t="str">
        <f aca="false">IF(P20&lt;0,"STOP OR REPRICE - campaign is loss-making",IF(R20&gt;=$E$5,"SCALE - exceeds ROI target","OPTIMISE - profitable but below target ROI"))</f>
        <v>SCALE - exceeds ROI target</v>
      </c>
    </row>
    <row r="21" customFormat="false" ht="21.75" hidden="false" customHeight="true" outlineLevel="0" collapsed="false">
      <c r="B21" s="99" t="n">
        <v>8</v>
      </c>
      <c r="C21" s="99" t="s">
        <v>493</v>
      </c>
      <c r="D21" s="99" t="s">
        <v>540</v>
      </c>
      <c r="E21" s="79" t="n">
        <v>650</v>
      </c>
      <c r="F21" s="99" t="s">
        <v>541</v>
      </c>
      <c r="G21" s="79" t="n">
        <v>72</v>
      </c>
      <c r="H21" s="79" t="n">
        <v>10</v>
      </c>
      <c r="I21" s="79" t="n">
        <v>2100</v>
      </c>
      <c r="J21" s="99" t="n">
        <v>210</v>
      </c>
      <c r="K21" s="78" t="n">
        <f aca="false">IFERROR(E21/MAX(1,G21),0)</f>
        <v>9.02777777777778</v>
      </c>
      <c r="L21" s="78" t="n">
        <f aca="false">IFERROR(E21/MAX(1,H21),0)</f>
        <v>65</v>
      </c>
      <c r="M21" s="81" t="n">
        <f aca="false">IFERROR(H21/MAX(1,G21),0)</f>
        <v>0.138888888888889</v>
      </c>
      <c r="N21" s="82" t="n">
        <f aca="false">IFERROR(I21*H21,0)</f>
        <v>21000</v>
      </c>
      <c r="O21" s="82" t="n">
        <f aca="false">IFERROR(0,0)</f>
        <v>0</v>
      </c>
      <c r="P21" s="82" t="n">
        <f aca="false">IFERROR(N21*$E$6-E21,0)</f>
        <v>9850</v>
      </c>
      <c r="Q21" s="113" t="n">
        <f aca="false">IFERROR(N21/MAX(1,E21),0)</f>
        <v>32.3076923076923</v>
      </c>
      <c r="R21" s="81" t="n">
        <f aca="false">IFERROR(P21/E21,0)</f>
        <v>15.1538461538462</v>
      </c>
      <c r="S21" s="81" t="n">
        <f aca="false">IFERROR(P21/MAX(1,SUMIF(P14:P63,"&gt;-1E10")),0)</f>
        <v>0.0122519295234186</v>
      </c>
      <c r="T21" s="114" t="n">
        <f aca="false">IFERROR(IF(P21&gt;0,E21/P21*30,0),0)</f>
        <v>1.97969543147208</v>
      </c>
      <c r="U21" s="115" t="str">
        <f aca="false">IF(P21&gt;=0,IF(R21&gt;=$E$5,"🟢 Profitable","🟡 Watch"),"🔴 Loss-Making")</f>
        <v>🟢 Profitable</v>
      </c>
      <c r="W21" s="115" t="str">
        <f aca="false">IF(P21&lt;0,"STOP OR REPRICE - campaign is loss-making",IF(R21&gt;=$E$5,"SCALE - exceeds ROI target","OPTIMISE - profitable but below target ROI"))</f>
        <v>SCALE - exceeds ROI target</v>
      </c>
    </row>
    <row r="22" customFormat="false" ht="21.75" hidden="false" customHeight="true" outlineLevel="0" collapsed="false">
      <c r="P22" s="63" t="n">
        <f aca="false">IFERROR(N22*$E$6-E22,0)</f>
        <v>0</v>
      </c>
      <c r="Q22" s="109" t="n">
        <f aca="false">IFERROR(N22/MAX(1,E22),0)</f>
        <v>0</v>
      </c>
      <c r="R22" s="92" t="n">
        <f aca="false">IFERROR(P22/E22,0)</f>
        <v>0</v>
      </c>
    </row>
    <row r="23" customFormat="false" ht="21.75" hidden="false" customHeight="true" outlineLevel="0" collapsed="false">
      <c r="P23" s="63" t="n">
        <f aca="false">IFERROR(N23*$E$6-E23,0)</f>
        <v>0</v>
      </c>
      <c r="Q23" s="109" t="n">
        <f aca="false">IFERROR(N23/MAX(1,E23),0)</f>
        <v>0</v>
      </c>
      <c r="R23" s="92" t="n">
        <f aca="false">IFERROR(P23/E23,0)</f>
        <v>0</v>
      </c>
    </row>
    <row r="24" customFormat="false" ht="21.75" hidden="false" customHeight="true" outlineLevel="0" collapsed="false">
      <c r="P24" s="63" t="n">
        <f aca="false">IFERROR(N24*$E$6-E24,0)</f>
        <v>0</v>
      </c>
      <c r="Q24" s="109" t="n">
        <f aca="false">IFERROR(N24/MAX(1,E24),0)</f>
        <v>0</v>
      </c>
      <c r="R24" s="92" t="n">
        <f aca="false">IFERROR(P24/E24,0)</f>
        <v>0</v>
      </c>
    </row>
    <row r="25" customFormat="false" ht="21.75" hidden="false" customHeight="true" outlineLevel="0" collapsed="false">
      <c r="P25" s="63" t="n">
        <f aca="false">IFERROR(N25*$E$6-E25,0)</f>
        <v>0</v>
      </c>
      <c r="Q25" s="109" t="n">
        <f aca="false">IFERROR(N25/MAX(1,E25),0)</f>
        <v>0</v>
      </c>
      <c r="R25" s="92" t="n">
        <f aca="false">IFERROR(P25/E25,0)</f>
        <v>0</v>
      </c>
    </row>
    <row r="26" customFormat="false" ht="21.75" hidden="false" customHeight="true" outlineLevel="0" collapsed="false">
      <c r="P26" s="63" t="n">
        <f aca="false">IFERROR(N26*$E$6-E26,0)</f>
        <v>0</v>
      </c>
      <c r="Q26" s="109" t="n">
        <f aca="false">IFERROR(N26/MAX(1,E26),0)</f>
        <v>0</v>
      </c>
      <c r="R26" s="92" t="n">
        <f aca="false">IFERROR(P26/E26,0)</f>
        <v>0</v>
      </c>
    </row>
    <row r="27" customFormat="false" ht="21.75" hidden="false" customHeight="true" outlineLevel="0" collapsed="false">
      <c r="P27" s="63" t="n">
        <f aca="false">IFERROR(N27*$E$6-E27,0)</f>
        <v>0</v>
      </c>
      <c r="Q27" s="109" t="n">
        <f aca="false">IFERROR(N27/MAX(1,E27),0)</f>
        <v>0</v>
      </c>
      <c r="R27" s="92" t="n">
        <f aca="false">IFERROR(P27/E27,0)</f>
        <v>0</v>
      </c>
    </row>
    <row r="28" customFormat="false" ht="21.75" hidden="false" customHeight="true" outlineLevel="0" collapsed="false">
      <c r="P28" s="63" t="n">
        <f aca="false">IFERROR(N28*$E$6-E28,0)</f>
        <v>0</v>
      </c>
      <c r="Q28" s="109" t="n">
        <f aca="false">IFERROR(N28/MAX(1,E28),0)</f>
        <v>0</v>
      </c>
      <c r="R28" s="92" t="n">
        <f aca="false">IFERROR(P28/E28,0)</f>
        <v>0</v>
      </c>
    </row>
    <row r="29" customFormat="false" ht="21.75" hidden="false" customHeight="true" outlineLevel="0" collapsed="false">
      <c r="P29" s="63" t="n">
        <f aca="false">IFERROR(N29*$E$6-E29,0)</f>
        <v>0</v>
      </c>
      <c r="Q29" s="109" t="n">
        <f aca="false">IFERROR(N29/MAX(1,E29),0)</f>
        <v>0</v>
      </c>
      <c r="R29" s="92" t="n">
        <f aca="false">IFERROR(P29/E29,0)</f>
        <v>0</v>
      </c>
    </row>
    <row r="30" customFormat="false" ht="21.75" hidden="false" customHeight="true" outlineLevel="0" collapsed="false">
      <c r="P30" s="63" t="n">
        <f aca="false">IFERROR(N30*$E$6-E30,0)</f>
        <v>0</v>
      </c>
      <c r="Q30" s="109" t="n">
        <f aca="false">IFERROR(N30/MAX(1,E30),0)</f>
        <v>0</v>
      </c>
      <c r="R30" s="92" t="n">
        <f aca="false">IFERROR(P30/E30,0)</f>
        <v>0</v>
      </c>
    </row>
    <row r="31" customFormat="false" ht="21.75" hidden="false" customHeight="true" outlineLevel="0" collapsed="false">
      <c r="P31" s="63" t="n">
        <f aca="false">IFERROR(N31*$E$6-E31,0)</f>
        <v>0</v>
      </c>
      <c r="Q31" s="109" t="n">
        <f aca="false">IFERROR(N31/MAX(1,E31),0)</f>
        <v>0</v>
      </c>
      <c r="R31" s="92" t="n">
        <f aca="false">IFERROR(P31/E31,0)</f>
        <v>0</v>
      </c>
    </row>
    <row r="32" customFormat="false" ht="21.75" hidden="false" customHeight="true" outlineLevel="0" collapsed="false">
      <c r="P32" s="63" t="n">
        <f aca="false">IFERROR(N32*$E$6-E32,0)</f>
        <v>0</v>
      </c>
      <c r="Q32" s="109" t="n">
        <f aca="false">IFERROR(N32/MAX(1,E32),0)</f>
        <v>0</v>
      </c>
      <c r="R32" s="92" t="n">
        <f aca="false">IFERROR(P32/E32,0)</f>
        <v>0</v>
      </c>
    </row>
    <row r="33" customFormat="false" ht="21.75" hidden="false" customHeight="true" outlineLevel="0" collapsed="false">
      <c r="P33" s="63" t="n">
        <f aca="false">IFERROR(N33*$E$6-E33,0)</f>
        <v>0</v>
      </c>
      <c r="Q33" s="109" t="n">
        <f aca="false">IFERROR(N33/MAX(1,E33),0)</f>
        <v>0</v>
      </c>
      <c r="R33" s="92" t="n">
        <f aca="false">IFERROR(P33/E33,0)</f>
        <v>0</v>
      </c>
    </row>
    <row r="34" customFormat="false" ht="21.75" hidden="false" customHeight="true" outlineLevel="0" collapsed="false">
      <c r="P34" s="63" t="n">
        <f aca="false">IFERROR(N34*$E$6-E34,0)</f>
        <v>0</v>
      </c>
      <c r="Q34" s="109" t="n">
        <f aca="false">IFERROR(N34/MAX(1,E34),0)</f>
        <v>0</v>
      </c>
      <c r="R34" s="92" t="n">
        <f aca="false">IFERROR(P34/E34,0)</f>
        <v>0</v>
      </c>
    </row>
    <row r="35" customFormat="false" ht="21.75" hidden="false" customHeight="true" outlineLevel="0" collapsed="false">
      <c r="P35" s="63" t="n">
        <f aca="false">IFERROR(N35*$E$6-E35,0)</f>
        <v>0</v>
      </c>
      <c r="Q35" s="109" t="n">
        <f aca="false">IFERROR(N35/MAX(1,E35),0)</f>
        <v>0</v>
      </c>
      <c r="R35" s="92" t="n">
        <f aca="false">IFERROR(P35/E35,0)</f>
        <v>0</v>
      </c>
    </row>
    <row r="36" customFormat="false" ht="21.75" hidden="false" customHeight="true" outlineLevel="0" collapsed="false">
      <c r="P36" s="63" t="n">
        <f aca="false">IFERROR(N36*$E$6-E36,0)</f>
        <v>0</v>
      </c>
      <c r="Q36" s="109" t="n">
        <f aca="false">IFERROR(N36/MAX(1,E36),0)</f>
        <v>0</v>
      </c>
      <c r="R36" s="92" t="n">
        <f aca="false">IFERROR(P36/E36,0)</f>
        <v>0</v>
      </c>
    </row>
    <row r="37" customFormat="false" ht="21.75" hidden="false" customHeight="true" outlineLevel="0" collapsed="false">
      <c r="P37" s="63" t="n">
        <f aca="false">IFERROR(N37*$E$6-E37,0)</f>
        <v>0</v>
      </c>
      <c r="Q37" s="109" t="n">
        <f aca="false">IFERROR(N37/MAX(1,E37),0)</f>
        <v>0</v>
      </c>
      <c r="R37" s="92" t="n">
        <f aca="false">IFERROR(P37/E37,0)</f>
        <v>0</v>
      </c>
    </row>
    <row r="38" customFormat="false" ht="21.75" hidden="false" customHeight="true" outlineLevel="0" collapsed="false">
      <c r="P38" s="63" t="n">
        <f aca="false">IFERROR(N38*$E$6-E38,0)</f>
        <v>0</v>
      </c>
      <c r="Q38" s="109" t="n">
        <f aca="false">IFERROR(N38/MAX(1,E38),0)</f>
        <v>0</v>
      </c>
      <c r="R38" s="92" t="n">
        <f aca="false">IFERROR(P38/E38,0)</f>
        <v>0</v>
      </c>
    </row>
    <row r="39" customFormat="false" ht="21.75" hidden="false" customHeight="true" outlineLevel="0" collapsed="false">
      <c r="P39" s="63" t="n">
        <f aca="false">IFERROR(N39*$E$6-E39,0)</f>
        <v>0</v>
      </c>
      <c r="Q39" s="109" t="n">
        <f aca="false">IFERROR(N39/MAX(1,E39),0)</f>
        <v>0</v>
      </c>
      <c r="R39" s="92" t="n">
        <f aca="false">IFERROR(P39/E39,0)</f>
        <v>0</v>
      </c>
    </row>
    <row r="40" customFormat="false" ht="21.75" hidden="false" customHeight="true" outlineLevel="0" collapsed="false">
      <c r="P40" s="63" t="n">
        <f aca="false">IFERROR(N40*$E$6-E40,0)</f>
        <v>0</v>
      </c>
      <c r="Q40" s="109" t="n">
        <f aca="false">IFERROR(N40/MAX(1,E40),0)</f>
        <v>0</v>
      </c>
      <c r="R40" s="92" t="n">
        <f aca="false">IFERROR(P40/E40,0)</f>
        <v>0</v>
      </c>
    </row>
    <row r="41" customFormat="false" ht="21.75" hidden="false" customHeight="true" outlineLevel="0" collapsed="false">
      <c r="P41" s="63" t="n">
        <f aca="false">IFERROR(N41*$E$6-E41,0)</f>
        <v>0</v>
      </c>
      <c r="Q41" s="109" t="n">
        <f aca="false">IFERROR(N41/MAX(1,E41),0)</f>
        <v>0</v>
      </c>
      <c r="R41" s="92" t="n">
        <f aca="false">IFERROR(P41/E41,0)</f>
        <v>0</v>
      </c>
    </row>
    <row r="42" customFormat="false" ht="21.75" hidden="false" customHeight="true" outlineLevel="0" collapsed="false">
      <c r="P42" s="63" t="n">
        <f aca="false">IFERROR(N42*$E$6-E42,0)</f>
        <v>0</v>
      </c>
      <c r="Q42" s="109" t="n">
        <f aca="false">IFERROR(N42/MAX(1,E42),0)</f>
        <v>0</v>
      </c>
      <c r="R42" s="92" t="n">
        <f aca="false">IFERROR(P42/E42,0)</f>
        <v>0</v>
      </c>
    </row>
    <row r="43" customFormat="false" ht="21.75" hidden="false" customHeight="true" outlineLevel="0" collapsed="false">
      <c r="P43" s="63" t="n">
        <f aca="false">IFERROR(N43*$E$6-E43,0)</f>
        <v>0</v>
      </c>
      <c r="Q43" s="109" t="n">
        <f aca="false">IFERROR(N43/MAX(1,E43),0)</f>
        <v>0</v>
      </c>
      <c r="R43" s="92" t="n">
        <f aca="false">IFERROR(P43/E43,0)</f>
        <v>0</v>
      </c>
    </row>
    <row r="44" customFormat="false" ht="21.75" hidden="false" customHeight="true" outlineLevel="0" collapsed="false">
      <c r="P44" s="63" t="n">
        <f aca="false">IFERROR(N44*$E$6-E44,0)</f>
        <v>0</v>
      </c>
      <c r="Q44" s="109" t="n">
        <f aca="false">IFERROR(N44/MAX(1,E44),0)</f>
        <v>0</v>
      </c>
      <c r="R44" s="92" t="n">
        <f aca="false">IFERROR(P44/E44,0)</f>
        <v>0</v>
      </c>
    </row>
    <row r="45" customFormat="false" ht="21.75" hidden="false" customHeight="true" outlineLevel="0" collapsed="false">
      <c r="P45" s="63" t="n">
        <f aca="false">IFERROR(N45*$E$6-E45,0)</f>
        <v>0</v>
      </c>
      <c r="Q45" s="109" t="n">
        <f aca="false">IFERROR(N45/MAX(1,E45),0)</f>
        <v>0</v>
      </c>
      <c r="R45" s="92" t="n">
        <f aca="false">IFERROR(P45/E45,0)</f>
        <v>0</v>
      </c>
    </row>
    <row r="46" customFormat="false" ht="21.75" hidden="false" customHeight="true" outlineLevel="0" collapsed="false">
      <c r="P46" s="63" t="n">
        <f aca="false">IFERROR(N46*$E$6-E46,0)</f>
        <v>0</v>
      </c>
      <c r="Q46" s="109" t="n">
        <f aca="false">IFERROR(N46/MAX(1,E46),0)</f>
        <v>0</v>
      </c>
      <c r="R46" s="92" t="n">
        <f aca="false">IFERROR(P46/E46,0)</f>
        <v>0</v>
      </c>
    </row>
    <row r="47" customFormat="false" ht="21.75" hidden="false" customHeight="true" outlineLevel="0" collapsed="false">
      <c r="P47" s="63" t="n">
        <f aca="false">IFERROR(N47*$E$6-E47,0)</f>
        <v>0</v>
      </c>
      <c r="Q47" s="109" t="n">
        <f aca="false">IFERROR(N47/MAX(1,E47),0)</f>
        <v>0</v>
      </c>
      <c r="R47" s="92" t="n">
        <f aca="false">IFERROR(P47/E47,0)</f>
        <v>0</v>
      </c>
    </row>
    <row r="48" customFormat="false" ht="21.75" hidden="false" customHeight="true" outlineLevel="0" collapsed="false">
      <c r="P48" s="63" t="n">
        <f aca="false">IFERROR(N48*$E$6-E48,0)</f>
        <v>0</v>
      </c>
      <c r="Q48" s="109" t="n">
        <f aca="false">IFERROR(N48/MAX(1,E48),0)</f>
        <v>0</v>
      </c>
      <c r="R48" s="92" t="n">
        <f aca="false">IFERROR(P48/E48,0)</f>
        <v>0</v>
      </c>
    </row>
    <row r="49" customFormat="false" ht="21.75" hidden="false" customHeight="true" outlineLevel="0" collapsed="false">
      <c r="P49" s="63" t="n">
        <f aca="false">IFERROR(N49*$E$6-E49,0)</f>
        <v>0</v>
      </c>
      <c r="Q49" s="109" t="n">
        <f aca="false">IFERROR(N49/MAX(1,E49),0)</f>
        <v>0</v>
      </c>
      <c r="R49" s="92" t="n">
        <f aca="false">IFERROR(P49/E49,0)</f>
        <v>0</v>
      </c>
    </row>
    <row r="50" customFormat="false" ht="21.75" hidden="false" customHeight="true" outlineLevel="0" collapsed="false">
      <c r="P50" s="63" t="n">
        <f aca="false">IFERROR(N50*$E$6-E50,0)</f>
        <v>0</v>
      </c>
      <c r="Q50" s="109" t="n">
        <f aca="false">IFERROR(N50/MAX(1,E50),0)</f>
        <v>0</v>
      </c>
      <c r="R50" s="92" t="n">
        <f aca="false">IFERROR(P50/E50,0)</f>
        <v>0</v>
      </c>
    </row>
    <row r="51" customFormat="false" ht="21.75" hidden="false" customHeight="true" outlineLevel="0" collapsed="false">
      <c r="P51" s="63" t="n">
        <f aca="false">IFERROR(N51*$E$6-E51,0)</f>
        <v>0</v>
      </c>
      <c r="Q51" s="109" t="n">
        <f aca="false">IFERROR(N51/MAX(1,E51),0)</f>
        <v>0</v>
      </c>
      <c r="R51" s="92" t="n">
        <f aca="false">IFERROR(P51/E51,0)</f>
        <v>0</v>
      </c>
    </row>
    <row r="52" customFormat="false" ht="21.75" hidden="false" customHeight="true" outlineLevel="0" collapsed="false">
      <c r="P52" s="63" t="n">
        <f aca="false">IFERROR(N52*$E$6-E52,0)</f>
        <v>0</v>
      </c>
      <c r="Q52" s="109" t="n">
        <f aca="false">IFERROR(N52/MAX(1,E52),0)</f>
        <v>0</v>
      </c>
      <c r="R52" s="92" t="n">
        <f aca="false">IFERROR(P52/E52,0)</f>
        <v>0</v>
      </c>
    </row>
    <row r="53" customFormat="false" ht="21.75" hidden="false" customHeight="true" outlineLevel="0" collapsed="false">
      <c r="P53" s="63" t="n">
        <f aca="false">IFERROR(N53*$E$6-E53,0)</f>
        <v>0</v>
      </c>
      <c r="Q53" s="109" t="n">
        <f aca="false">IFERROR(N53/MAX(1,E53),0)</f>
        <v>0</v>
      </c>
      <c r="R53" s="92" t="n">
        <f aca="false">IFERROR(P53/E53,0)</f>
        <v>0</v>
      </c>
    </row>
    <row r="54" customFormat="false" ht="21.75" hidden="false" customHeight="true" outlineLevel="0" collapsed="false">
      <c r="P54" s="63" t="n">
        <f aca="false">IFERROR(N54*$E$6-E54,0)</f>
        <v>0</v>
      </c>
      <c r="Q54" s="109" t="n">
        <f aca="false">IFERROR(N54/MAX(1,E54),0)</f>
        <v>0</v>
      </c>
      <c r="R54" s="92" t="n">
        <f aca="false">IFERROR(P54/E54,0)</f>
        <v>0</v>
      </c>
    </row>
    <row r="55" customFormat="false" ht="21.75" hidden="false" customHeight="true" outlineLevel="0" collapsed="false">
      <c r="P55" s="63" t="n">
        <f aca="false">IFERROR(N55*$E$6-E55,0)</f>
        <v>0</v>
      </c>
      <c r="Q55" s="109" t="n">
        <f aca="false">IFERROR(N55/MAX(1,E55),0)</f>
        <v>0</v>
      </c>
      <c r="R55" s="92" t="n">
        <f aca="false">IFERROR(P55/E55,0)</f>
        <v>0</v>
      </c>
    </row>
    <row r="56" customFormat="false" ht="21.75" hidden="false" customHeight="true" outlineLevel="0" collapsed="false">
      <c r="P56" s="63" t="n">
        <f aca="false">IFERROR(N56*$E$6-E56,0)</f>
        <v>0</v>
      </c>
      <c r="Q56" s="109" t="n">
        <f aca="false">IFERROR(N56/MAX(1,E56),0)</f>
        <v>0</v>
      </c>
      <c r="R56" s="92" t="n">
        <f aca="false">IFERROR(P56/E56,0)</f>
        <v>0</v>
      </c>
    </row>
    <row r="57" customFormat="false" ht="21.75" hidden="false" customHeight="true" outlineLevel="0" collapsed="false">
      <c r="P57" s="63" t="n">
        <f aca="false">IFERROR(N57*$E$6-E57,0)</f>
        <v>0</v>
      </c>
      <c r="Q57" s="109" t="n">
        <f aca="false">IFERROR(N57/MAX(1,E57),0)</f>
        <v>0</v>
      </c>
      <c r="R57" s="92" t="n">
        <f aca="false">IFERROR(P57/E57,0)</f>
        <v>0</v>
      </c>
    </row>
    <row r="58" customFormat="false" ht="21.75" hidden="false" customHeight="true" outlineLevel="0" collapsed="false">
      <c r="P58" s="63" t="n">
        <f aca="false">IFERROR(N58*$E$6-E58,0)</f>
        <v>0</v>
      </c>
      <c r="Q58" s="109" t="n">
        <f aca="false">IFERROR(N58/MAX(1,E58),0)</f>
        <v>0</v>
      </c>
      <c r="R58" s="92" t="n">
        <f aca="false">IFERROR(P58/E58,0)</f>
        <v>0</v>
      </c>
    </row>
    <row r="59" customFormat="false" ht="21.75" hidden="false" customHeight="true" outlineLevel="0" collapsed="false">
      <c r="P59" s="63" t="n">
        <f aca="false">IFERROR(N59*$E$6-E59,0)</f>
        <v>0</v>
      </c>
      <c r="Q59" s="109" t="n">
        <f aca="false">IFERROR(N59/MAX(1,E59),0)</f>
        <v>0</v>
      </c>
      <c r="R59" s="92" t="n">
        <f aca="false">IFERROR(P59/E59,0)</f>
        <v>0</v>
      </c>
    </row>
    <row r="60" customFormat="false" ht="21.75" hidden="false" customHeight="true" outlineLevel="0" collapsed="false">
      <c r="P60" s="63" t="n">
        <f aca="false">IFERROR(N60*$E$6-E60,0)</f>
        <v>0</v>
      </c>
      <c r="Q60" s="109" t="n">
        <f aca="false">IFERROR(N60/MAX(1,E60),0)</f>
        <v>0</v>
      </c>
      <c r="R60" s="92" t="n">
        <f aca="false">IFERROR(P60/E60,0)</f>
        <v>0</v>
      </c>
    </row>
    <row r="61" customFormat="false" ht="21.75" hidden="false" customHeight="true" outlineLevel="0" collapsed="false">
      <c r="P61" s="63" t="n">
        <f aca="false">IFERROR(N61*$E$6-E61,0)</f>
        <v>0</v>
      </c>
      <c r="Q61" s="109" t="n">
        <f aca="false">IFERROR(N61/MAX(1,E61),0)</f>
        <v>0</v>
      </c>
      <c r="R61" s="92" t="n">
        <f aca="false">IFERROR(P61/E61,0)</f>
        <v>0</v>
      </c>
    </row>
    <row r="62" customFormat="false" ht="21.75" hidden="false" customHeight="true" outlineLevel="0" collapsed="false">
      <c r="P62" s="63" t="n">
        <f aca="false">IFERROR(N62*$E$6-E62,0)</f>
        <v>0</v>
      </c>
      <c r="Q62" s="109" t="n">
        <f aca="false">IFERROR(N62/MAX(1,E62),0)</f>
        <v>0</v>
      </c>
      <c r="R62" s="92" t="n">
        <f aca="false">IFERROR(P62/E62,0)</f>
        <v>0</v>
      </c>
    </row>
    <row r="63" customFormat="false" ht="21.75" hidden="false" customHeight="true" outlineLevel="0" collapsed="false">
      <c r="P63" s="63" t="n">
        <f aca="false">IFERROR(N63*$E$6-E63,0)</f>
        <v>0</v>
      </c>
      <c r="Q63" s="109" t="n">
        <f aca="false">IFERROR(N63/MAX(1,E63),0)</f>
        <v>0</v>
      </c>
      <c r="R63" s="92" t="n">
        <f aca="false">IFERROR(P63/E63,0)</f>
        <v>0</v>
      </c>
    </row>
  </sheetData>
  <mergeCells count="6">
    <mergeCell ref="A1:W1"/>
    <mergeCell ref="A2:W2"/>
    <mergeCell ref="A3:W3"/>
    <mergeCell ref="A4:W4"/>
    <mergeCell ref="A5:D5"/>
    <mergeCell ref="A6:D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5"/>
    <col collapsed="false" customWidth="true" hidden="false" outlineLevel="0" max="3" min="3" style="1" width="50"/>
    <col collapsed="false" customWidth="true" hidden="false" outlineLevel="0" max="4" min="4" style="1" width="20"/>
  </cols>
  <sheetData>
    <row r="1" customFormat="false" ht="27.75" hidden="false" customHeight="true" outlineLevel="0" collapsed="false">
      <c r="A1" s="14" t="s">
        <v>542</v>
      </c>
      <c r="B1" s="14"/>
      <c r="C1" s="14"/>
      <c r="D1" s="14"/>
    </row>
    <row r="2" customFormat="false" ht="15" hidden="false" customHeight="true" outlineLevel="0" collapsed="false">
      <c r="A2" s="15" t="s">
        <v>543</v>
      </c>
      <c r="B2" s="15"/>
      <c r="C2" s="15"/>
      <c r="D2" s="15"/>
    </row>
    <row r="3" customFormat="false" ht="45" hidden="false" customHeight="true" outlineLevel="0" collapsed="false">
      <c r="B3" s="116" t="s">
        <v>544</v>
      </c>
      <c r="C3" s="117" t="s">
        <v>545</v>
      </c>
    </row>
    <row r="4" customFormat="false" ht="45" hidden="false" customHeight="true" outlineLevel="0" collapsed="false">
      <c r="B4" s="116" t="s">
        <v>546</v>
      </c>
      <c r="C4" s="117" t="s">
        <v>547</v>
      </c>
    </row>
    <row r="5" customFormat="false" ht="45" hidden="false" customHeight="true" outlineLevel="0" collapsed="false">
      <c r="B5" s="116" t="s">
        <v>548</v>
      </c>
      <c r="C5" s="117" t="s">
        <v>549</v>
      </c>
    </row>
    <row r="6" customFormat="false" ht="45" hidden="false" customHeight="true" outlineLevel="0" collapsed="false">
      <c r="B6" s="116" t="s">
        <v>550</v>
      </c>
      <c r="C6" s="117" t="s">
        <v>551</v>
      </c>
    </row>
    <row r="7" customFormat="false" ht="45" hidden="false" customHeight="true" outlineLevel="0" collapsed="false">
      <c r="B7" s="116" t="s">
        <v>552</v>
      </c>
      <c r="C7" s="117" t="s">
        <v>553</v>
      </c>
    </row>
    <row r="8" customFormat="false" ht="21.75" hidden="false" customHeight="true" outlineLevel="0" collapsed="false">
      <c r="B8" s="8" t="s">
        <v>554</v>
      </c>
      <c r="C8" s="8"/>
      <c r="D8" s="8"/>
    </row>
    <row r="9" customFormat="false" ht="45" hidden="false" customHeight="true" outlineLevel="0" collapsed="false">
      <c r="B9" s="116" t="s">
        <v>555</v>
      </c>
      <c r="C9" s="117" t="s">
        <v>556</v>
      </c>
    </row>
    <row r="10" customFormat="false" ht="45" hidden="false" customHeight="true" outlineLevel="0" collapsed="false">
      <c r="B10" s="116" t="s">
        <v>557</v>
      </c>
      <c r="C10" s="117" t="s">
        <v>558</v>
      </c>
    </row>
    <row r="11" customFormat="false" ht="45" hidden="false" customHeight="true" outlineLevel="0" collapsed="false">
      <c r="B11" s="116" t="s">
        <v>559</v>
      </c>
      <c r="C11" s="117" t="s">
        <v>560</v>
      </c>
    </row>
    <row r="12" customFormat="false" ht="45" hidden="false" customHeight="true" outlineLevel="0" collapsed="false">
      <c r="B12" s="116" t="s">
        <v>561</v>
      </c>
      <c r="C12" s="117" t="s">
        <v>562</v>
      </c>
    </row>
    <row r="13" customFormat="false" ht="45" hidden="false" customHeight="true" outlineLevel="0" collapsed="false">
      <c r="B13" s="116" t="s">
        <v>563</v>
      </c>
      <c r="C13" s="117" t="s">
        <v>564</v>
      </c>
    </row>
    <row r="14" customFormat="false" ht="45" hidden="false" customHeight="true" outlineLevel="0" collapsed="false">
      <c r="B14" s="116" t="s">
        <v>565</v>
      </c>
      <c r="C14" s="117" t="s">
        <v>566</v>
      </c>
    </row>
    <row r="15" customFormat="false" ht="21.75" hidden="false" customHeight="true" outlineLevel="0" collapsed="false">
      <c r="B15" s="8" t="s">
        <v>567</v>
      </c>
      <c r="C15" s="8"/>
      <c r="D15" s="8"/>
    </row>
    <row r="16" customFormat="false" ht="45" hidden="false" customHeight="true" outlineLevel="0" collapsed="false">
      <c r="B16" s="116" t="s">
        <v>568</v>
      </c>
      <c r="C16" s="117" t="s">
        <v>569</v>
      </c>
    </row>
    <row r="17" customFormat="false" ht="45" hidden="false" customHeight="true" outlineLevel="0" collapsed="false">
      <c r="B17" s="116" t="s">
        <v>570</v>
      </c>
      <c r="C17" s="117" t="s">
        <v>571</v>
      </c>
    </row>
    <row r="18" customFormat="false" ht="45" hidden="false" customHeight="true" outlineLevel="0" collapsed="false">
      <c r="B18" s="116" t="s">
        <v>572</v>
      </c>
      <c r="C18" s="117" t="s">
        <v>573</v>
      </c>
    </row>
    <row r="19" customFormat="false" ht="15" hidden="false" customHeight="true" outlineLevel="0" collapsed="false">
      <c r="B19" s="17" t="s">
        <v>574</v>
      </c>
      <c r="C19" s="17"/>
      <c r="D19" s="17"/>
    </row>
  </sheetData>
  <mergeCells count="5">
    <mergeCell ref="A1:D1"/>
    <mergeCell ref="A2:D2"/>
    <mergeCell ref="B8:D8"/>
    <mergeCell ref="B15:D15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3" min="3" style="1" width="50"/>
    <col collapsed="false" customWidth="true" hidden="false" outlineLevel="0" max="4" min="4" style="1" width="20"/>
  </cols>
  <sheetData>
    <row r="1" customFormat="false" ht="27.75" hidden="false" customHeight="true" outlineLevel="0" collapsed="false">
      <c r="A1" s="14" t="s">
        <v>575</v>
      </c>
      <c r="B1" s="14"/>
      <c r="C1" s="14"/>
      <c r="D1" s="14"/>
    </row>
    <row r="2" customFormat="false" ht="15" hidden="false" customHeight="true" outlineLevel="0" collapsed="false">
      <c r="A2" s="15" t="s">
        <v>576</v>
      </c>
      <c r="B2" s="15"/>
      <c r="C2" s="15"/>
      <c r="D2" s="15"/>
    </row>
    <row r="3" customFormat="false" ht="19.5" hidden="false" customHeight="true" outlineLevel="0" collapsed="false">
      <c r="B3" s="9" t="s">
        <v>577</v>
      </c>
    </row>
    <row r="4" customFormat="false" ht="54.75" hidden="false" customHeight="true" outlineLevel="0" collapsed="false">
      <c r="B4" s="16" t="s">
        <v>578</v>
      </c>
      <c r="C4" s="16"/>
      <c r="D4" s="16"/>
    </row>
    <row r="6" customFormat="false" ht="19.5" hidden="false" customHeight="true" outlineLevel="0" collapsed="false">
      <c r="B6" s="9" t="s">
        <v>579</v>
      </c>
    </row>
    <row r="7" customFormat="false" ht="54.75" hidden="false" customHeight="true" outlineLevel="0" collapsed="false">
      <c r="B7" s="16" t="s">
        <v>580</v>
      </c>
      <c r="C7" s="16"/>
      <c r="D7" s="16"/>
    </row>
    <row r="9" customFormat="false" ht="19.5" hidden="false" customHeight="true" outlineLevel="0" collapsed="false">
      <c r="B9" s="9" t="s">
        <v>581</v>
      </c>
    </row>
    <row r="10" customFormat="false" ht="54.75" hidden="false" customHeight="true" outlineLevel="0" collapsed="false">
      <c r="B10" s="16" t="s">
        <v>582</v>
      </c>
      <c r="C10" s="16"/>
      <c r="D10" s="16"/>
    </row>
    <row r="12" customFormat="false" ht="19.5" hidden="false" customHeight="true" outlineLevel="0" collapsed="false">
      <c r="B12" s="9" t="s">
        <v>583</v>
      </c>
    </row>
    <row r="13" customFormat="false" ht="54.75" hidden="false" customHeight="true" outlineLevel="0" collapsed="false">
      <c r="B13" s="16" t="s">
        <v>584</v>
      </c>
      <c r="C13" s="16"/>
      <c r="D13" s="16"/>
    </row>
    <row r="15" customFormat="false" ht="19.5" hidden="false" customHeight="true" outlineLevel="0" collapsed="false">
      <c r="B15" s="9" t="s">
        <v>585</v>
      </c>
    </row>
    <row r="16" customFormat="false" ht="54.75" hidden="false" customHeight="true" outlineLevel="0" collapsed="false">
      <c r="B16" s="16" t="s">
        <v>586</v>
      </c>
      <c r="C16" s="16"/>
      <c r="D16" s="16"/>
    </row>
    <row r="18" customFormat="false" ht="19.5" hidden="false" customHeight="true" outlineLevel="0" collapsed="false">
      <c r="B18" s="9" t="s">
        <v>587</v>
      </c>
    </row>
    <row r="19" customFormat="false" ht="54.75" hidden="false" customHeight="true" outlineLevel="0" collapsed="false">
      <c r="B19" s="16" t="s">
        <v>588</v>
      </c>
      <c r="C19" s="16"/>
      <c r="D19" s="16"/>
    </row>
    <row r="21" customFormat="false" ht="19.5" hidden="false" customHeight="true" outlineLevel="0" collapsed="false">
      <c r="B21" s="9" t="s">
        <v>589</v>
      </c>
    </row>
    <row r="22" customFormat="false" ht="54.75" hidden="false" customHeight="true" outlineLevel="0" collapsed="false">
      <c r="B22" s="16" t="s">
        <v>590</v>
      </c>
      <c r="C22" s="16"/>
      <c r="D22" s="16"/>
    </row>
    <row r="24" customFormat="false" ht="19.5" hidden="false" customHeight="true" outlineLevel="0" collapsed="false">
      <c r="B24" s="9" t="s">
        <v>591</v>
      </c>
    </row>
    <row r="25" customFormat="false" ht="54.75" hidden="false" customHeight="true" outlineLevel="0" collapsed="false">
      <c r="B25" s="16" t="s">
        <v>592</v>
      </c>
      <c r="C25" s="16"/>
      <c r="D25" s="16"/>
    </row>
    <row r="27" customFormat="false" ht="19.5" hidden="false" customHeight="true" outlineLevel="0" collapsed="false">
      <c r="B27" s="9" t="s">
        <v>593</v>
      </c>
    </row>
    <row r="28" customFormat="false" ht="54.75" hidden="false" customHeight="true" outlineLevel="0" collapsed="false">
      <c r="B28" s="16" t="s">
        <v>594</v>
      </c>
      <c r="C28" s="16"/>
      <c r="D28" s="16"/>
    </row>
    <row r="30" customFormat="false" ht="15" hidden="false" customHeight="true" outlineLevel="0" collapsed="false">
      <c r="B30" s="17" t="s">
        <v>595</v>
      </c>
      <c r="C30" s="17"/>
      <c r="D30" s="17"/>
    </row>
  </sheetData>
  <mergeCells count="12">
    <mergeCell ref="A1:D1"/>
    <mergeCell ref="A2:D2"/>
    <mergeCell ref="B4:D4"/>
    <mergeCell ref="B7:D7"/>
    <mergeCell ref="B10:D10"/>
    <mergeCell ref="B13:D13"/>
    <mergeCell ref="B16:D16"/>
    <mergeCell ref="B19:D19"/>
    <mergeCell ref="B22:D22"/>
    <mergeCell ref="B25:D25"/>
    <mergeCell ref="B28:D28"/>
    <mergeCell ref="B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5"/>
    <col collapsed="false" customWidth="true" hidden="false" outlineLevel="0" max="3" min="3" style="1" width="55"/>
    <col collapsed="false" customWidth="true" hidden="false" outlineLevel="0" max="4" min="4" style="1" width="20"/>
  </cols>
  <sheetData>
    <row r="1" customFormat="false" ht="27.75" hidden="false" customHeight="true" outlineLevel="0" collapsed="false">
      <c r="A1" s="14" t="s">
        <v>34</v>
      </c>
      <c r="B1" s="14"/>
      <c r="C1" s="14"/>
      <c r="D1" s="14"/>
    </row>
    <row r="2" customFormat="false" ht="15" hidden="false" customHeight="true" outlineLevel="0" collapsed="false">
      <c r="A2" s="15" t="s">
        <v>35</v>
      </c>
      <c r="B2" s="15"/>
      <c r="C2" s="15"/>
      <c r="D2" s="15"/>
    </row>
    <row r="3" customFormat="false" ht="21.75" hidden="false" customHeight="true" outlineLevel="0" collapsed="false">
      <c r="B3" s="8" t="s">
        <v>36</v>
      </c>
      <c r="C3" s="8"/>
      <c r="D3" s="8"/>
    </row>
    <row r="4" customFormat="false" ht="54.75" hidden="false" customHeight="true" outlineLevel="0" collapsed="false">
      <c r="B4" s="16" t="s">
        <v>37</v>
      </c>
      <c r="C4" s="16"/>
      <c r="D4" s="16"/>
    </row>
    <row r="6" customFormat="false" ht="21.75" hidden="false" customHeight="true" outlineLevel="0" collapsed="false">
      <c r="B6" s="8" t="s">
        <v>38</v>
      </c>
      <c r="C6" s="8"/>
      <c r="D6" s="8"/>
    </row>
    <row r="7" customFormat="false" ht="54.75" hidden="false" customHeight="true" outlineLevel="0" collapsed="false">
      <c r="B7" s="16" t="s">
        <v>39</v>
      </c>
      <c r="C7" s="16"/>
      <c r="D7" s="16"/>
    </row>
    <row r="9" customFormat="false" ht="21.75" hidden="false" customHeight="true" outlineLevel="0" collapsed="false">
      <c r="B9" s="8" t="s">
        <v>40</v>
      </c>
      <c r="C9" s="8"/>
      <c r="D9" s="8"/>
    </row>
    <row r="10" customFormat="false" ht="54.75" hidden="false" customHeight="true" outlineLevel="0" collapsed="false">
      <c r="B10" s="16" t="s">
        <v>41</v>
      </c>
      <c r="C10" s="16"/>
      <c r="D10" s="16"/>
    </row>
    <row r="12" customFormat="false" ht="21.75" hidden="false" customHeight="true" outlineLevel="0" collapsed="false">
      <c r="B12" s="8" t="s">
        <v>42</v>
      </c>
      <c r="C12" s="8"/>
      <c r="D12" s="8"/>
    </row>
    <row r="13" customFormat="false" ht="54.75" hidden="false" customHeight="true" outlineLevel="0" collapsed="false">
      <c r="B13" s="16" t="s">
        <v>43</v>
      </c>
      <c r="C13" s="16"/>
      <c r="D13" s="16"/>
    </row>
    <row r="15" customFormat="false" ht="21.75" hidden="false" customHeight="true" outlineLevel="0" collapsed="false">
      <c r="B15" s="8" t="s">
        <v>44</v>
      </c>
      <c r="C15" s="8"/>
      <c r="D15" s="8"/>
    </row>
    <row r="16" customFormat="false" ht="54.75" hidden="false" customHeight="true" outlineLevel="0" collapsed="false">
      <c r="B16" s="16" t="s">
        <v>45</v>
      </c>
      <c r="C16" s="16"/>
      <c r="D16" s="16"/>
    </row>
    <row r="18" customFormat="false" ht="21.75" hidden="false" customHeight="true" outlineLevel="0" collapsed="false">
      <c r="B18" s="8" t="s">
        <v>46</v>
      </c>
      <c r="C18" s="8"/>
      <c r="D18" s="8"/>
    </row>
    <row r="19" customFormat="false" ht="54.75" hidden="false" customHeight="true" outlineLevel="0" collapsed="false">
      <c r="B19" s="16" t="s">
        <v>47</v>
      </c>
      <c r="C19" s="16"/>
      <c r="D19" s="16"/>
    </row>
    <row r="21" customFormat="false" ht="15" hidden="false" customHeight="true" outlineLevel="0" collapsed="false">
      <c r="B21" s="17" t="s">
        <v>48</v>
      </c>
      <c r="C21" s="17"/>
      <c r="D21" s="17"/>
    </row>
  </sheetData>
  <mergeCells count="15">
    <mergeCell ref="A1:D1"/>
    <mergeCell ref="A2:D2"/>
    <mergeCell ref="B3:D3"/>
    <mergeCell ref="B4:D4"/>
    <mergeCell ref="B6:D6"/>
    <mergeCell ref="B7:D7"/>
    <mergeCell ref="B9:D9"/>
    <mergeCell ref="B10:D10"/>
    <mergeCell ref="B12:D12"/>
    <mergeCell ref="B13:D13"/>
    <mergeCell ref="B15:D15"/>
    <mergeCell ref="B16:D16"/>
    <mergeCell ref="B18:D18"/>
    <mergeCell ref="B19:D19"/>
    <mergeCell ref="B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12" min="2" style="1" width="15"/>
  </cols>
  <sheetData>
    <row r="1" customFormat="false" ht="27.75" hidden="false" customHeight="true" outlineLevel="0" collapsed="false">
      <c r="A1" s="14" t="s">
        <v>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false" ht="18" hidden="false" customHeight="true" outlineLevel="0" collapsed="false">
      <c r="A2" s="18" t="s">
        <v>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customFormat="false" ht="21.75" hidden="false" customHeight="true" outlineLevel="0" collapsed="false">
      <c r="A3" s="8" t="s">
        <v>51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customFormat="false" ht="31.5" hidden="false" customHeight="true" outlineLevel="0" collapsed="false">
      <c r="A4" s="19" t="s">
        <v>52</v>
      </c>
      <c r="C4" s="20" t="n">
        <f aca="false">IFERROR('💰 Cost Input'!D15,0)</f>
        <v>11700</v>
      </c>
      <c r="D4" s="20"/>
      <c r="E4" s="19" t="s">
        <v>53</v>
      </c>
      <c r="G4" s="20" t="n">
        <f aca="false">IFERROR('💰 Cost Input'!D27,0)</f>
        <v>0</v>
      </c>
      <c r="H4" s="20"/>
      <c r="I4" s="19" t="s">
        <v>54</v>
      </c>
      <c r="K4" s="21" t="n">
        <f aca="false">IFERROR('📊 P&amp;L'!C18,0)</f>
        <v>0</v>
      </c>
      <c r="L4" s="21"/>
    </row>
    <row r="6" customFormat="false" ht="31.5" hidden="false" customHeight="true" outlineLevel="0" collapsed="false">
      <c r="A6" s="19" t="s">
        <v>55</v>
      </c>
      <c r="C6" s="21" t="n">
        <f aca="false">IFERROR(AVERAGEIF('📊 Profit Analyzer'!U15:U44,"&gt;0"),0)</f>
        <v>0.381803033774045</v>
      </c>
      <c r="D6" s="21"/>
      <c r="E6" s="19" t="s">
        <v>56</v>
      </c>
      <c r="G6" s="20" t="n">
        <f aca="false">IFERROR(SUMIF('📣 Marketing Engine'!D14:D63,"&gt;0"),0)</f>
        <v>0</v>
      </c>
      <c r="H6" s="20"/>
      <c r="I6" s="19" t="s">
        <v>57</v>
      </c>
      <c r="K6" s="20" t="n">
        <f aca="false">IFERROR(SUMIF('📣 Marketing Engine'!P14:P63,"&gt;-1E10"),0)</f>
        <v>803955</v>
      </c>
      <c r="L6" s="20"/>
    </row>
    <row r="8" customFormat="false" ht="21.75" hidden="false" customHeight="true" outlineLevel="0" collapsed="false">
      <c r="A8" s="8" t="s">
        <v>58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customFormat="false" ht="25.5" hidden="false" customHeight="true" outlineLevel="0" collapsed="false">
      <c r="A9" s="22" t="s">
        <v>59</v>
      </c>
      <c r="B9" s="23" t="n">
        <f aca="false">IFERROR('📊 P&amp;L'!B18,0)</f>
        <v>-43584.75</v>
      </c>
      <c r="C9" s="24" t="str">
        <f aca="false">IF(ISNUMBER('📊 P&amp;L'!B18),IF('📊 P&amp;L'!B18&gt;0,"🟢 Profitable",IF('📊 P&amp;L'!B18&gt;-500,"🟡 Marginal","🔴 Loss")),"-")</f>
        <v>🔴 Loss</v>
      </c>
      <c r="D9" s="22" t="s">
        <v>60</v>
      </c>
      <c r="E9" s="25" t="n">
        <f aca="false">IFERROR('📊 P&amp;L'!C12,0)</f>
        <v>0</v>
      </c>
      <c r="F9" s="24" t="str">
        <f aca="false">IF(IFERROR('📊 P&amp;L'!C12,0)&gt;=0.4,"🟢 Strong",IF(IFERROR('📊 P&amp;L'!C12,0)&gt;=0.25,"🟡 Watch","🔴 Low"))</f>
        <v>🔴 Low</v>
      </c>
      <c r="G9" s="22" t="s">
        <v>61</v>
      </c>
      <c r="H9" s="25" t="n">
        <f aca="false">IFERROR(SUMIF('📣 Marketing Engine'!P14:P63,"&gt;-1E10")/MAX(1,SUMIF('📣 Marketing Engine'!D14:D63,"&gt;0")),0)</f>
        <v>803955</v>
      </c>
      <c r="I9" s="24" t="str">
        <f aca="false">IFERROR(IF(SUMIF('📣 Marketing Engine'!P14:P63,"&gt;-1E10")/MAX(1,SUMIF('📣 Marketing Engine'!D14:D63,"&gt;0"))&gt;=1,"🟢 Strong",IF(SUMIF('📣 Marketing Engine'!P14:P63,"&gt;-1E10")/MAX(1,SUMIF('📣 Marketing Engine'!D14:D63,"&gt;0"))&gt;0,"🟡 Marginal","🔴 Loss")),"-")</f>
        <v>🟢 Strong</v>
      </c>
      <c r="J9" s="22" t="s">
        <v>62</v>
      </c>
      <c r="K9" s="25" t="n">
        <f aca="false">IFERROR(AVERAGEIF('📊 Profit Analyzer'!U15:U44,"&gt;0"),0)</f>
        <v>0.381803033774045</v>
      </c>
      <c r="L9" s="24" t="str">
        <f aca="false">IFERROR(IF(AVERAGEIF('📊 Profit Analyzer'!U15:U44,"&gt;0")&gt;=0.35,"🟢 Healthy",IF(AVERAGEIF('📊 Profit Analyzer'!U15:U44,"&gt;0")&gt;=0.2,"🟡 Watch","🔴 Weak")),"-")</f>
        <v>🟢 Healthy</v>
      </c>
    </row>
    <row r="10" customFormat="false" ht="21.75" hidden="false" customHeight="true" outlineLevel="0" collapsed="false">
      <c r="A10" s="8" t="s">
        <v>63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customFormat="false" ht="36" hidden="false" customHeight="true" outlineLevel="0" collapsed="false">
      <c r="A11" s="22" t="s">
        <v>52</v>
      </c>
      <c r="B11" s="26" t="n">
        <f aca="false">IFERROR('💰 Cost Input'!D15,0)</f>
        <v>11700</v>
      </c>
      <c r="C11" s="22" t="s">
        <v>64</v>
      </c>
      <c r="D11" s="26" t="n">
        <f aca="false">IFERROR('⚖️ Break-Even'!B73,0)</f>
        <v>0</v>
      </c>
      <c r="E11" s="22" t="s">
        <v>65</v>
      </c>
      <c r="F11" s="26" t="n">
        <f aca="false">IFERROR('🧳 Inventory Planner'!K55,0)</f>
        <v>75283</v>
      </c>
      <c r="G11" s="22" t="s">
        <v>66</v>
      </c>
      <c r="H11" s="26" t="n">
        <f aca="false">IFERROR('📈 Revenue Planner'!B16,0)</f>
        <v>0</v>
      </c>
      <c r="I11" s="22" t="s">
        <v>60</v>
      </c>
      <c r="J11" s="27" t="n">
        <f aca="false">IFERROR('📊 P&amp;L'!C12,0)</f>
        <v>0</v>
      </c>
      <c r="K11" s="22" t="s">
        <v>67</v>
      </c>
      <c r="L11" s="26" t="n">
        <f aca="false">IFERROR('📊 P&amp;L'!B18,0)</f>
        <v>-43584.75</v>
      </c>
    </row>
    <row r="12" customFormat="false" ht="21.75" hidden="false" customHeight="true" outlineLevel="0" collapsed="false">
      <c r="A12" s="8" t="s">
        <v>68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customFormat="false" ht="21.75" hidden="false" customHeight="true" outlineLevel="0" collapsed="false">
      <c r="A13" s="8" t="s">
        <v>7</v>
      </c>
      <c r="B13" s="8"/>
      <c r="C13" s="10" t="s">
        <v>69</v>
      </c>
      <c r="D13" s="10"/>
      <c r="E13" s="10"/>
      <c r="F13" s="10"/>
      <c r="G13" s="10"/>
      <c r="H13" s="28" t="s">
        <v>70</v>
      </c>
      <c r="I13" s="28"/>
      <c r="J13" s="28"/>
      <c r="K13" s="28"/>
      <c r="L13" s="28"/>
    </row>
    <row r="14" customFormat="false" ht="21.75" hidden="false" customHeight="true" outlineLevel="0" collapsed="false">
      <c r="A14" s="8" t="s">
        <v>71</v>
      </c>
      <c r="B14" s="8"/>
      <c r="C14" s="10" t="s">
        <v>72</v>
      </c>
      <c r="D14" s="10"/>
      <c r="E14" s="10"/>
      <c r="F14" s="10"/>
      <c r="G14" s="10"/>
      <c r="H14" s="28" t="s">
        <v>73</v>
      </c>
      <c r="I14" s="28"/>
      <c r="J14" s="28"/>
      <c r="K14" s="28"/>
      <c r="L14" s="28"/>
    </row>
    <row r="15" customFormat="false" ht="21.75" hidden="false" customHeight="true" outlineLevel="0" collapsed="false">
      <c r="A15" s="8" t="s">
        <v>11</v>
      </c>
      <c r="B15" s="8"/>
      <c r="C15" s="10" t="s">
        <v>74</v>
      </c>
      <c r="D15" s="10"/>
      <c r="E15" s="10"/>
      <c r="F15" s="10"/>
      <c r="G15" s="10"/>
      <c r="H15" s="28" t="s">
        <v>75</v>
      </c>
      <c r="I15" s="28"/>
      <c r="J15" s="28"/>
      <c r="K15" s="28"/>
      <c r="L15" s="28"/>
    </row>
    <row r="16" customFormat="false" ht="21.75" hidden="false" customHeight="true" outlineLevel="0" collapsed="false">
      <c r="A16" s="8" t="s">
        <v>76</v>
      </c>
      <c r="B16" s="8"/>
      <c r="C16" s="10" t="s">
        <v>77</v>
      </c>
      <c r="D16" s="10"/>
      <c r="E16" s="10"/>
      <c r="F16" s="10"/>
      <c r="G16" s="10"/>
      <c r="H16" s="28" t="s">
        <v>78</v>
      </c>
      <c r="I16" s="28"/>
      <c r="J16" s="28"/>
      <c r="K16" s="28"/>
      <c r="L16" s="28"/>
    </row>
    <row r="17" customFormat="false" ht="21.75" hidden="false" customHeight="true" outlineLevel="0" collapsed="false">
      <c r="A17" s="8" t="s">
        <v>15</v>
      </c>
      <c r="B17" s="8"/>
      <c r="C17" s="10" t="s">
        <v>79</v>
      </c>
      <c r="D17" s="10"/>
      <c r="E17" s="10"/>
      <c r="F17" s="10"/>
      <c r="G17" s="10"/>
      <c r="H17" s="28" t="s">
        <v>80</v>
      </c>
      <c r="I17" s="28"/>
      <c r="J17" s="28"/>
      <c r="K17" s="28"/>
      <c r="L17" s="28"/>
    </row>
    <row r="18" customFormat="false" ht="21.75" hidden="false" customHeight="true" outlineLevel="0" collapsed="false">
      <c r="A18" s="8" t="s">
        <v>17</v>
      </c>
      <c r="B18" s="8"/>
      <c r="C18" s="10" t="s">
        <v>81</v>
      </c>
      <c r="D18" s="10"/>
      <c r="E18" s="10"/>
      <c r="F18" s="10"/>
      <c r="G18" s="10"/>
      <c r="H18" s="28" t="s">
        <v>82</v>
      </c>
      <c r="I18" s="28"/>
      <c r="J18" s="28"/>
      <c r="K18" s="28"/>
      <c r="L18" s="28"/>
    </row>
    <row r="19" customFormat="false" ht="21.75" hidden="false" customHeight="true" outlineLevel="0" collapsed="false">
      <c r="A19" s="8" t="s">
        <v>83</v>
      </c>
      <c r="B19" s="8"/>
      <c r="C19" s="10" t="s">
        <v>84</v>
      </c>
      <c r="D19" s="10"/>
      <c r="E19" s="10"/>
      <c r="F19" s="10"/>
      <c r="G19" s="10"/>
      <c r="H19" s="28" t="s">
        <v>85</v>
      </c>
      <c r="I19" s="28"/>
      <c r="J19" s="28"/>
      <c r="K19" s="28"/>
      <c r="L19" s="28"/>
    </row>
    <row r="20" customFormat="false" ht="21.75" hidden="false" customHeight="true" outlineLevel="0" collapsed="false">
      <c r="A20" s="8" t="s">
        <v>86</v>
      </c>
      <c r="B20" s="8"/>
      <c r="C20" s="10" t="s">
        <v>87</v>
      </c>
      <c r="D20" s="10"/>
      <c r="E20" s="10"/>
      <c r="F20" s="10"/>
      <c r="G20" s="10"/>
      <c r="H20" s="28" t="s">
        <v>88</v>
      </c>
      <c r="I20" s="28"/>
      <c r="J20" s="28"/>
      <c r="K20" s="28"/>
      <c r="L20" s="28"/>
    </row>
    <row r="21" customFormat="false" ht="21.75" hidden="false" customHeight="true" outlineLevel="0" collapsed="false">
      <c r="A21" s="8" t="s">
        <v>89</v>
      </c>
      <c r="B21" s="8"/>
      <c r="C21" s="10" t="s">
        <v>90</v>
      </c>
      <c r="D21" s="10"/>
      <c r="E21" s="10"/>
      <c r="F21" s="10"/>
      <c r="G21" s="10"/>
      <c r="H21" s="28" t="s">
        <v>91</v>
      </c>
      <c r="I21" s="28"/>
      <c r="J21" s="28"/>
      <c r="K21" s="28"/>
      <c r="L21" s="28"/>
    </row>
    <row r="22" customFormat="false" ht="21.75" hidden="false" customHeight="true" outlineLevel="0" collapsed="false">
      <c r="A22" s="8" t="s">
        <v>92</v>
      </c>
      <c r="B22" s="8"/>
      <c r="C22" s="10" t="s">
        <v>93</v>
      </c>
      <c r="D22" s="10"/>
      <c r="E22" s="10"/>
      <c r="F22" s="10"/>
      <c r="G22" s="10"/>
      <c r="H22" s="28" t="s">
        <v>94</v>
      </c>
      <c r="I22" s="28"/>
      <c r="J22" s="28"/>
      <c r="K22" s="28"/>
      <c r="L22" s="28"/>
    </row>
  </sheetData>
  <mergeCells count="42">
    <mergeCell ref="A1:L1"/>
    <mergeCell ref="A2:L2"/>
    <mergeCell ref="A3:L3"/>
    <mergeCell ref="C4:D4"/>
    <mergeCell ref="G4:H4"/>
    <mergeCell ref="K4:L4"/>
    <mergeCell ref="C6:D6"/>
    <mergeCell ref="G6:H6"/>
    <mergeCell ref="K6:L6"/>
    <mergeCell ref="A8:L8"/>
    <mergeCell ref="A10:L10"/>
    <mergeCell ref="A12:L12"/>
    <mergeCell ref="A13:B13"/>
    <mergeCell ref="C13:G13"/>
    <mergeCell ref="H13:L13"/>
    <mergeCell ref="A14:B14"/>
    <mergeCell ref="C14:G14"/>
    <mergeCell ref="H14:L14"/>
    <mergeCell ref="A15:B15"/>
    <mergeCell ref="C15:G15"/>
    <mergeCell ref="H15:L15"/>
    <mergeCell ref="A16:B16"/>
    <mergeCell ref="C16:G16"/>
    <mergeCell ref="H16:L16"/>
    <mergeCell ref="A17:B17"/>
    <mergeCell ref="C17:G17"/>
    <mergeCell ref="H17:L17"/>
    <mergeCell ref="A18:B18"/>
    <mergeCell ref="C18:G18"/>
    <mergeCell ref="H18:L18"/>
    <mergeCell ref="A19:B19"/>
    <mergeCell ref="C19:G19"/>
    <mergeCell ref="H19:L19"/>
    <mergeCell ref="A20:B20"/>
    <mergeCell ref="C20:G20"/>
    <mergeCell ref="H20:L20"/>
    <mergeCell ref="A21:B21"/>
    <mergeCell ref="C21:G21"/>
    <mergeCell ref="H21:L21"/>
    <mergeCell ref="A22:B22"/>
    <mergeCell ref="C22:G22"/>
    <mergeCell ref="H22:L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8"/>
    <col collapsed="false" customWidth="true" hidden="false" outlineLevel="0" max="3" min="3" style="1" width="30"/>
    <col collapsed="false" customWidth="true" hidden="false" outlineLevel="0" max="4" min="4" style="1" width="18"/>
    <col collapsed="false" customWidth="true" hidden="false" outlineLevel="0" max="5" min="5" style="1" width="35"/>
    <col collapsed="false" customWidth="true" hidden="false" outlineLevel="0" max="7" min="6" style="1" width="18"/>
  </cols>
  <sheetData>
    <row r="1" customFormat="false" ht="27.75" hidden="false" customHeight="true" outlineLevel="0" collapsed="false">
      <c r="A1" s="14" t="s">
        <v>95</v>
      </c>
      <c r="B1" s="14"/>
      <c r="C1" s="14"/>
      <c r="D1" s="14"/>
      <c r="E1" s="14"/>
      <c r="F1" s="14"/>
      <c r="G1" s="14"/>
    </row>
    <row r="2" customFormat="false" ht="15" hidden="false" customHeight="true" outlineLevel="0" collapsed="false">
      <c r="A2" s="15" t="s">
        <v>96</v>
      </c>
      <c r="B2" s="15"/>
      <c r="C2" s="15"/>
      <c r="D2" s="15"/>
      <c r="E2" s="15"/>
      <c r="F2" s="15"/>
      <c r="G2" s="15"/>
    </row>
    <row r="3" customFormat="false" ht="18" hidden="false" customHeight="true" outlineLevel="0" collapsed="false">
      <c r="A3" s="29" t="s">
        <v>97</v>
      </c>
      <c r="B3" s="29"/>
      <c r="C3" s="29"/>
      <c r="D3" s="29"/>
      <c r="E3" s="29"/>
      <c r="F3" s="29"/>
      <c r="G3" s="29"/>
    </row>
    <row r="4" customFormat="false" ht="21.75" hidden="false" customHeight="true" outlineLevel="0" collapsed="false">
      <c r="A4" s="8" t="s">
        <v>98</v>
      </c>
      <c r="B4" s="8"/>
      <c r="C4" s="8"/>
      <c r="D4" s="8"/>
      <c r="E4" s="8"/>
      <c r="F4" s="8"/>
      <c r="G4" s="8"/>
    </row>
    <row r="5" customFormat="false" ht="21.75" hidden="false" customHeight="true" outlineLevel="0" collapsed="false">
      <c r="A5" s="22" t="s">
        <v>99</v>
      </c>
      <c r="B5" s="22" t="s">
        <v>100</v>
      </c>
      <c r="C5" s="22" t="s">
        <v>101</v>
      </c>
      <c r="D5" s="22" t="s">
        <v>102</v>
      </c>
      <c r="E5" s="22" t="s">
        <v>103</v>
      </c>
    </row>
    <row r="6" customFormat="false" ht="21.75" hidden="false" customHeight="true" outlineLevel="0" collapsed="false">
      <c r="A6" s="30" t="s">
        <v>104</v>
      </c>
      <c r="B6" s="30" t="s">
        <v>105</v>
      </c>
      <c r="C6" s="30" t="s">
        <v>106</v>
      </c>
      <c r="D6" s="31" t="n">
        <v>3200</v>
      </c>
    </row>
    <row r="7" customFormat="false" ht="21.75" hidden="false" customHeight="true" outlineLevel="0" collapsed="false">
      <c r="A7" s="30" t="s">
        <v>104</v>
      </c>
      <c r="B7" s="30" t="s">
        <v>105</v>
      </c>
      <c r="C7" s="30" t="s">
        <v>107</v>
      </c>
      <c r="D7" s="31" t="n">
        <v>420</v>
      </c>
    </row>
    <row r="8" customFormat="false" ht="21.75" hidden="false" customHeight="true" outlineLevel="0" collapsed="false">
      <c r="A8" s="30" t="s">
        <v>104</v>
      </c>
      <c r="B8" s="30" t="s">
        <v>108</v>
      </c>
      <c r="C8" s="30" t="s">
        <v>109</v>
      </c>
      <c r="D8" s="31" t="n">
        <v>5800</v>
      </c>
    </row>
    <row r="9" customFormat="false" ht="21.75" hidden="false" customHeight="true" outlineLevel="0" collapsed="false">
      <c r="A9" s="30" t="s">
        <v>104</v>
      </c>
      <c r="B9" s="30" t="s">
        <v>110</v>
      </c>
      <c r="C9" s="30" t="s">
        <v>111</v>
      </c>
      <c r="D9" s="31" t="n">
        <v>280</v>
      </c>
    </row>
    <row r="10" customFormat="false" ht="21.75" hidden="false" customHeight="true" outlineLevel="0" collapsed="false">
      <c r="A10" s="30" t="s">
        <v>104</v>
      </c>
      <c r="B10" s="30" t="s">
        <v>112</v>
      </c>
      <c r="C10" s="30" t="s">
        <v>113</v>
      </c>
      <c r="D10" s="31" t="n">
        <v>195</v>
      </c>
    </row>
    <row r="11" customFormat="false" ht="21.75" hidden="false" customHeight="true" outlineLevel="0" collapsed="false">
      <c r="A11" s="30" t="s">
        <v>104</v>
      </c>
      <c r="B11" s="30" t="s">
        <v>114</v>
      </c>
      <c r="C11" s="30" t="s">
        <v>115</v>
      </c>
      <c r="D11" s="31" t="n">
        <v>350</v>
      </c>
    </row>
    <row r="12" customFormat="false" ht="21.75" hidden="false" customHeight="true" outlineLevel="0" collapsed="false">
      <c r="A12" s="30" t="s">
        <v>104</v>
      </c>
      <c r="B12" s="30" t="s">
        <v>116</v>
      </c>
      <c r="C12" s="30" t="s">
        <v>117</v>
      </c>
      <c r="D12" s="31" t="n">
        <v>800</v>
      </c>
    </row>
    <row r="13" customFormat="false" ht="21.75" hidden="false" customHeight="true" outlineLevel="0" collapsed="false">
      <c r="A13" s="30" t="s">
        <v>104</v>
      </c>
      <c r="B13" s="30" t="s">
        <v>118</v>
      </c>
      <c r="C13" s="30" t="s">
        <v>119</v>
      </c>
      <c r="D13" s="31" t="n">
        <v>400</v>
      </c>
    </row>
    <row r="14" customFormat="false" ht="21.75" hidden="false" customHeight="true" outlineLevel="0" collapsed="false">
      <c r="A14" s="30" t="s">
        <v>104</v>
      </c>
      <c r="B14" s="30" t="s">
        <v>118</v>
      </c>
      <c r="C14" s="30" t="s">
        <v>120</v>
      </c>
      <c r="D14" s="31" t="n">
        <v>255</v>
      </c>
    </row>
    <row r="15" customFormat="false" ht="25.5" hidden="false" customHeight="true" outlineLevel="0" collapsed="false">
      <c r="A15" s="32" t="s">
        <v>121</v>
      </c>
      <c r="B15" s="32"/>
      <c r="C15" s="32"/>
      <c r="D15" s="33" t="n">
        <f aca="false">SUM(D6:D14)</f>
        <v>11700</v>
      </c>
    </row>
    <row r="16" customFormat="false" ht="21.75" hidden="false" customHeight="true" outlineLevel="0" collapsed="false">
      <c r="A16" s="8" t="s">
        <v>122</v>
      </c>
      <c r="B16" s="8"/>
      <c r="C16" s="8"/>
      <c r="D16" s="8"/>
      <c r="E16" s="8"/>
      <c r="F16" s="8"/>
      <c r="G16" s="8"/>
    </row>
    <row r="17" customFormat="false" ht="21.75" hidden="false" customHeight="true" outlineLevel="0" collapsed="false">
      <c r="A17" s="22" t="s">
        <v>99</v>
      </c>
      <c r="B17" s="22" t="s">
        <v>100</v>
      </c>
      <c r="C17" s="22" t="s">
        <v>101</v>
      </c>
      <c r="D17" s="22" t="s">
        <v>123</v>
      </c>
      <c r="E17" s="22" t="s">
        <v>103</v>
      </c>
    </row>
    <row r="18" customFormat="false" ht="21.75" hidden="false" customHeight="true" outlineLevel="0" collapsed="false">
      <c r="A18" s="30" t="s">
        <v>124</v>
      </c>
      <c r="B18" s="30" t="s">
        <v>125</v>
      </c>
      <c r="C18" s="30" t="s">
        <v>126</v>
      </c>
      <c r="D18" s="34" t="n">
        <v>14.5</v>
      </c>
    </row>
    <row r="19" customFormat="false" ht="21.75" hidden="false" customHeight="true" outlineLevel="0" collapsed="false">
      <c r="A19" s="30" t="s">
        <v>124</v>
      </c>
      <c r="B19" s="30" t="s">
        <v>127</v>
      </c>
      <c r="C19" s="30" t="s">
        <v>128</v>
      </c>
      <c r="D19" s="34" t="n">
        <v>1.8</v>
      </c>
    </row>
    <row r="20" customFormat="false" ht="21.75" hidden="false" customHeight="true" outlineLevel="0" collapsed="false">
      <c r="A20" s="30" t="s">
        <v>124</v>
      </c>
      <c r="B20" s="30" t="s">
        <v>129</v>
      </c>
      <c r="C20" s="30" t="s">
        <v>130</v>
      </c>
      <c r="D20" s="34" t="n">
        <v>3.2</v>
      </c>
    </row>
    <row r="21" customFormat="false" ht="21.75" hidden="false" customHeight="true" outlineLevel="0" collapsed="false">
      <c r="A21" s="30" t="s">
        <v>124</v>
      </c>
      <c r="B21" s="30" t="s">
        <v>131</v>
      </c>
      <c r="C21" s="30" t="s">
        <v>132</v>
      </c>
      <c r="D21" s="34" t="n">
        <v>0.75</v>
      </c>
    </row>
    <row r="22" customFormat="false" ht="21.75" hidden="false" customHeight="true" outlineLevel="0" collapsed="false">
      <c r="A22" s="30" t="s">
        <v>124</v>
      </c>
      <c r="B22" s="30" t="s">
        <v>133</v>
      </c>
      <c r="C22" s="30" t="s">
        <v>134</v>
      </c>
      <c r="D22" s="34" t="n">
        <v>1.2</v>
      </c>
    </row>
    <row r="23" customFormat="false" ht="21.75" hidden="false" customHeight="true" outlineLevel="0" collapsed="false">
      <c r="A23" s="30" t="s">
        <v>124</v>
      </c>
      <c r="B23" s="30" t="s">
        <v>135</v>
      </c>
      <c r="C23" s="30" t="s">
        <v>136</v>
      </c>
      <c r="D23" s="34" t="n">
        <v>2</v>
      </c>
    </row>
    <row r="24" customFormat="false" ht="21.75" hidden="false" customHeight="true" outlineLevel="0" collapsed="false">
      <c r="A24" s="30" t="s">
        <v>124</v>
      </c>
      <c r="B24" s="30" t="s">
        <v>118</v>
      </c>
      <c r="C24" s="30" t="s">
        <v>137</v>
      </c>
      <c r="D24" s="34" t="n">
        <v>0.8</v>
      </c>
    </row>
    <row r="25" customFormat="false" ht="21.75" hidden="false" customHeight="true" outlineLevel="0" collapsed="false">
      <c r="A25" s="30" t="s">
        <v>124</v>
      </c>
      <c r="B25" s="30" t="s">
        <v>118</v>
      </c>
      <c r="C25" s="30" t="s">
        <v>138</v>
      </c>
      <c r="D25" s="34" t="n">
        <v>0.5</v>
      </c>
    </row>
    <row r="26" customFormat="false" ht="25.5" hidden="false" customHeight="true" outlineLevel="0" collapsed="false">
      <c r="A26" s="32" t="s">
        <v>139</v>
      </c>
      <c r="B26" s="32"/>
      <c r="C26" s="32"/>
      <c r="D26" s="35" t="n">
        <f aca="false">SUM(D18:D25)</f>
        <v>24.75</v>
      </c>
    </row>
  </sheetData>
  <mergeCells count="7">
    <mergeCell ref="A1:G1"/>
    <mergeCell ref="A2:G2"/>
    <mergeCell ref="A3:G3"/>
    <mergeCell ref="A4:G4"/>
    <mergeCell ref="A15:C15"/>
    <mergeCell ref="A16:G16"/>
    <mergeCell ref="A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8" min="2" style="1" width="18"/>
  </cols>
  <sheetData>
    <row r="1" customFormat="false" ht="27.75" hidden="false" customHeight="true" outlineLevel="0" collapsed="false">
      <c r="A1" s="14" t="s">
        <v>140</v>
      </c>
      <c r="B1" s="14"/>
      <c r="C1" s="14"/>
      <c r="D1" s="14"/>
      <c r="E1" s="14"/>
      <c r="F1" s="14"/>
      <c r="G1" s="14"/>
      <c r="H1" s="14"/>
    </row>
    <row r="2" customFormat="false" ht="15" hidden="false" customHeight="true" outlineLevel="0" collapsed="false">
      <c r="A2" s="15" t="s">
        <v>141</v>
      </c>
      <c r="B2" s="15"/>
      <c r="C2" s="15"/>
      <c r="D2" s="15"/>
      <c r="E2" s="15"/>
      <c r="F2" s="15"/>
      <c r="G2" s="15"/>
      <c r="H2" s="15"/>
    </row>
    <row r="3" customFormat="false" ht="21.75" hidden="false" customHeight="true" outlineLevel="0" collapsed="false">
      <c r="A3" s="9" t="s">
        <v>142</v>
      </c>
      <c r="D3" s="36" t="n">
        <f aca="false">IFERROR(AVERAGE(F9:F58),0)</f>
        <v>0</v>
      </c>
    </row>
    <row r="4" customFormat="false" ht="21.75" hidden="false" customHeight="true" outlineLevel="0" collapsed="false">
      <c r="A4" s="8" t="s">
        <v>143</v>
      </c>
      <c r="B4" s="8"/>
      <c r="C4" s="8"/>
      <c r="D4" s="8"/>
      <c r="E4" s="8"/>
      <c r="F4" s="8"/>
      <c r="G4" s="8"/>
      <c r="H4" s="8"/>
    </row>
    <row r="5" customFormat="false" ht="31.5" hidden="false" customHeight="true" outlineLevel="0" collapsed="false">
      <c r="A5" s="37" t="s">
        <v>125</v>
      </c>
      <c r="B5" s="37" t="s">
        <v>144</v>
      </c>
      <c r="C5" s="37" t="s">
        <v>145</v>
      </c>
      <c r="D5" s="37" t="s">
        <v>146</v>
      </c>
      <c r="E5" s="37" t="s">
        <v>147</v>
      </c>
      <c r="F5" s="37" t="s">
        <v>148</v>
      </c>
      <c r="G5" s="37" t="s">
        <v>149</v>
      </c>
      <c r="H5" s="37" t="s">
        <v>150</v>
      </c>
    </row>
    <row r="9" customFormat="false" ht="21.75" hidden="false" customHeight="true" outlineLevel="0" collapsed="false">
      <c r="A9" s="30" t="s">
        <v>151</v>
      </c>
      <c r="B9" s="34" t="n">
        <v>49.99</v>
      </c>
      <c r="C9" s="38" t="s">
        <v>152</v>
      </c>
      <c r="D9" s="39" t="str">
        <f aca="false">IFERROR(IF(B9="","-",B9-C9),"-")</f>
        <v>-</v>
      </c>
      <c r="E9" s="40" t="s">
        <v>153</v>
      </c>
      <c r="F9" s="41" t="str">
        <f aca="false">IFERROR(IF(B9="","-",IF(ISNUMBER(B9)*((B9-C9)&gt;0),E9/(B9-C9),"-")),"-")</f>
        <v>-</v>
      </c>
      <c r="G9" s="41" t="str">
        <f aca="false">IFERROR(IF(B9="","-",IF(ISNUMBER(F9),F9*B9,"-")),"-")</f>
        <v>-</v>
      </c>
      <c r="H9" s="31" t="n">
        <v>8000</v>
      </c>
    </row>
    <row r="10" customFormat="false" ht="21.75" hidden="false" customHeight="true" outlineLevel="0" collapsed="false">
      <c r="A10" s="30" t="s">
        <v>154</v>
      </c>
      <c r="B10" s="34" t="n">
        <v>89.99</v>
      </c>
      <c r="C10" s="38" t="s">
        <v>152</v>
      </c>
      <c r="D10" s="39" t="str">
        <f aca="false">IFERROR(IF(B10="","-",B10-C10),"-")</f>
        <v>-</v>
      </c>
      <c r="E10" s="40" t="s">
        <v>153</v>
      </c>
      <c r="F10" s="41" t="str">
        <f aca="false">IFERROR(IF(B10="","-",IF(ISNUMBER(B10)*((B10-C10)&gt;0),E10/(B10-C10),"-")),"-")</f>
        <v>-</v>
      </c>
      <c r="G10" s="41" t="str">
        <f aca="false">IFERROR(IF(B10="","-",IF(ISNUMBER(F10),F10*B10,"-")),"-")</f>
        <v>-</v>
      </c>
      <c r="H10" s="31" t="n">
        <v>6000</v>
      </c>
    </row>
    <row r="11" customFormat="false" ht="21.75" hidden="false" customHeight="true" outlineLevel="0" collapsed="false">
      <c r="A11" s="30" t="s">
        <v>155</v>
      </c>
      <c r="B11" s="34" t="n">
        <v>39.99</v>
      </c>
      <c r="C11" s="38" t="s">
        <v>152</v>
      </c>
      <c r="D11" s="39" t="str">
        <f aca="false">IFERROR(IF(B11="","-",B11-C11),"-")</f>
        <v>-</v>
      </c>
      <c r="E11" s="40" t="s">
        <v>153</v>
      </c>
      <c r="F11" s="41" t="str">
        <f aca="false">IFERROR(IF(B11="","-",IF(ISNUMBER(B11)*((B11-C11)&gt;0),E11/(B11-C11),"-")),"-")</f>
        <v>-</v>
      </c>
      <c r="G11" s="41" t="str">
        <f aca="false">IFERROR(IF(B11="","-",IF(ISNUMBER(F11),F11*B11,"-")),"-")</f>
        <v>-</v>
      </c>
      <c r="H11" s="31" t="n">
        <v>10000</v>
      </c>
    </row>
    <row r="12" customFormat="false" ht="21.75" hidden="false" customHeight="true" outlineLevel="0" collapsed="false">
      <c r="A12" s="30" t="s">
        <v>156</v>
      </c>
      <c r="B12" s="34" t="n">
        <v>69.99</v>
      </c>
      <c r="C12" s="38" t="s">
        <v>152</v>
      </c>
      <c r="D12" s="39" t="str">
        <f aca="false">IFERROR(IF(B12="","-",B12-C12),"-")</f>
        <v>-</v>
      </c>
      <c r="E12" s="40" t="s">
        <v>153</v>
      </c>
      <c r="F12" s="41" t="str">
        <f aca="false">IFERROR(IF(B12="","-",IF(ISNUMBER(B12)*((B12-C12)&gt;0),E12/(B12-C12),"-")),"-")</f>
        <v>-</v>
      </c>
      <c r="G12" s="41" t="str">
        <f aca="false">IFERROR(IF(B12="","-",IF(ISNUMBER(F12),F12*B12,"-")),"-")</f>
        <v>-</v>
      </c>
      <c r="H12" s="31" t="n">
        <v>5000</v>
      </c>
    </row>
    <row r="13" customFormat="false" ht="21.75" hidden="false" customHeight="true" outlineLevel="0" collapsed="false">
      <c r="A13" s="30" t="s">
        <v>157</v>
      </c>
      <c r="B13" s="34" t="n">
        <v>29.99</v>
      </c>
      <c r="C13" s="38" t="s">
        <v>152</v>
      </c>
      <c r="D13" s="39" t="str">
        <f aca="false">IFERROR(IF(B13="","-",B13-C13),"-")</f>
        <v>-</v>
      </c>
      <c r="E13" s="40" t="s">
        <v>153</v>
      </c>
      <c r="F13" s="41" t="str">
        <f aca="false">IFERROR(IF(B13="","-",IF(ISNUMBER(B13)*((B13-C13)&gt;0),E13/(B13-C13),"-")),"-")</f>
        <v>-</v>
      </c>
      <c r="G13" s="41" t="str">
        <f aca="false">IFERROR(IF(B13="","-",IF(ISNUMBER(F13),F13*B13,"-")),"-")</f>
        <v>-</v>
      </c>
      <c r="H13" s="31" t="n">
        <v>3000</v>
      </c>
    </row>
    <row r="14" customFormat="false" ht="21.75" hidden="false" customHeight="true" outlineLevel="0" collapsed="false">
      <c r="A14" s="30" t="s">
        <v>158</v>
      </c>
      <c r="B14" s="34" t="n">
        <v>59.99</v>
      </c>
      <c r="C14" s="38" t="s">
        <v>152</v>
      </c>
      <c r="D14" s="39" t="str">
        <f aca="false">IFERROR(IF(B14="","-",B14-C14),"-")</f>
        <v>-</v>
      </c>
      <c r="E14" s="40" t="s">
        <v>153</v>
      </c>
      <c r="F14" s="41" t="str">
        <f aca="false">IFERROR(IF(B14="","-",IF(ISNUMBER(B14)*((B14-C14)&gt;0),E14/(B14-C14),"-")),"-")</f>
        <v>-</v>
      </c>
      <c r="G14" s="41" t="str">
        <f aca="false">IFERROR(IF(B14="","-",IF(ISNUMBER(F14),F14*B14,"-")),"-")</f>
        <v>-</v>
      </c>
      <c r="H14" s="31" t="n">
        <v>4000</v>
      </c>
    </row>
    <row r="15" customFormat="false" ht="21.75" hidden="false" customHeight="true" outlineLevel="0" collapsed="false">
      <c r="A15" s="30" t="s">
        <v>159</v>
      </c>
      <c r="B15" s="34" t="n">
        <v>129.99</v>
      </c>
      <c r="C15" s="38" t="s">
        <v>152</v>
      </c>
      <c r="D15" s="39" t="str">
        <f aca="false">IFERROR(IF(B15="","-",B15-C15),"-")</f>
        <v>-</v>
      </c>
      <c r="E15" s="40" t="s">
        <v>153</v>
      </c>
      <c r="F15" s="41" t="str">
        <f aca="false">IFERROR(IF(B15="","-",IF(ISNUMBER(B15)*((B15-C15)&gt;0),E15/(B15-C15),"-")),"-")</f>
        <v>-</v>
      </c>
      <c r="G15" s="41" t="str">
        <f aca="false">IFERROR(IF(B15="","-",IF(ISNUMBER(F15),F15*B15,"-")),"-")</f>
        <v>-</v>
      </c>
      <c r="H15" s="31" t="n">
        <v>2000</v>
      </c>
    </row>
    <row r="16" customFormat="false" ht="21.75" hidden="false" customHeight="true" outlineLevel="0" collapsed="false">
      <c r="A16" s="30" t="s">
        <v>160</v>
      </c>
      <c r="B16" s="34" t="n">
        <v>49.99</v>
      </c>
      <c r="C16" s="38" t="s">
        <v>152</v>
      </c>
      <c r="D16" s="39" t="str">
        <f aca="false">IFERROR(IF(B16="","-",B16-C16),"-")</f>
        <v>-</v>
      </c>
      <c r="E16" s="40" t="s">
        <v>153</v>
      </c>
      <c r="F16" s="41" t="str">
        <f aca="false">IFERROR(IF(B16="","-",IF(ISNUMBER(B16)*((B16-C16)&gt;0),E16/(B16-C16),"-")),"-")</f>
        <v>-</v>
      </c>
      <c r="G16" s="41" t="str">
        <f aca="false">IFERROR(IF(B16="","-",IF(ISNUMBER(F16),F16*B16,"-")),"-")</f>
        <v>-</v>
      </c>
      <c r="H16" s="31" t="n">
        <v>3500</v>
      </c>
    </row>
    <row r="17" customFormat="false" ht="21.75" hidden="false" customHeight="true" outlineLevel="0" collapsed="false">
      <c r="A17" s="30" t="s">
        <v>161</v>
      </c>
      <c r="B17" s="34" t="n">
        <v>79.99</v>
      </c>
      <c r="C17" s="38" t="s">
        <v>152</v>
      </c>
      <c r="D17" s="39" t="str">
        <f aca="false">IFERROR(IF(B17="","-",B17-C17),"-")</f>
        <v>-</v>
      </c>
      <c r="E17" s="40" t="s">
        <v>153</v>
      </c>
      <c r="F17" s="41" t="str">
        <f aca="false">IFERROR(IF(B17="","-",IF(ISNUMBER(B17)*((B17-C17)&gt;0),E17/(B17-C17),"-")),"-")</f>
        <v>-</v>
      </c>
      <c r="G17" s="41" t="str">
        <f aca="false">IFERROR(IF(B17="","-",IF(ISNUMBER(F17),F17*B17,"-")),"-")</f>
        <v>-</v>
      </c>
      <c r="H17" s="31" t="n">
        <v>2500</v>
      </c>
    </row>
    <row r="18" customFormat="false" ht="21.75" hidden="false" customHeight="true" outlineLevel="0" collapsed="false">
      <c r="A18" s="30" t="s">
        <v>162</v>
      </c>
      <c r="B18" s="34" t="n">
        <v>99.99</v>
      </c>
      <c r="C18" s="38" t="s">
        <v>152</v>
      </c>
      <c r="D18" s="39" t="str">
        <f aca="false">IFERROR(IF(B18="","-",B18-C18),"-")</f>
        <v>-</v>
      </c>
      <c r="E18" s="40" t="s">
        <v>153</v>
      </c>
      <c r="F18" s="41" t="str">
        <f aca="false">IFERROR(IF(B18="","-",IF(ISNUMBER(B18)*((B18-C18)&gt;0),E18/(B18-C18),"-")),"-")</f>
        <v>-</v>
      </c>
      <c r="G18" s="41" t="str">
        <f aca="false">IFERROR(IF(B18="","-",IF(ISNUMBER(F18),F18*B18,"-")),"-")</f>
        <v>-</v>
      </c>
      <c r="H18" s="31" t="n">
        <v>1800</v>
      </c>
    </row>
    <row r="19" customFormat="false" ht="21.75" hidden="false" customHeight="true" outlineLevel="0" collapsed="false">
      <c r="A19" s="42" t="s">
        <v>163</v>
      </c>
      <c r="C19" s="43" t="s">
        <v>152</v>
      </c>
      <c r="D19" s="24" t="str">
        <f aca="false">IFERROR(IF(B19="","-",B19-C19),"-")</f>
        <v>-</v>
      </c>
      <c r="E19" s="43" t="s">
        <v>153</v>
      </c>
      <c r="F19" s="44" t="str">
        <f aca="false">IFERROR(IF(B19="","-",IF(ISNUMBER(B19)*((B19-C19)&gt;0),E19/(B19-C19),"-")),"-")</f>
        <v>-</v>
      </c>
      <c r="G19" s="44" t="str">
        <f aca="false">IFERROR(IF(B19="","-",IF(ISNUMBER(F19),F19*B19,"-")),"-")</f>
        <v>-</v>
      </c>
    </row>
    <row r="20" customFormat="false" ht="21.75" hidden="false" customHeight="true" outlineLevel="0" collapsed="false">
      <c r="A20" s="42" t="s">
        <v>164</v>
      </c>
      <c r="C20" s="43" t="s">
        <v>152</v>
      </c>
      <c r="D20" s="24" t="str">
        <f aca="false">IFERROR(IF(B20="","-",B20-C20),"-")</f>
        <v>-</v>
      </c>
      <c r="E20" s="43" t="s">
        <v>153</v>
      </c>
      <c r="F20" s="44" t="str">
        <f aca="false">IFERROR(IF(B20="","-",IF(ISNUMBER(B20)*((B20-C20)&gt;0),E20/(B20-C20),"-")),"-")</f>
        <v>-</v>
      </c>
      <c r="G20" s="44" t="str">
        <f aca="false">IFERROR(IF(B20="","-",IF(ISNUMBER(F20),F20*B20,"-")),"-")</f>
        <v>-</v>
      </c>
    </row>
    <row r="21" customFormat="false" ht="21.75" hidden="false" customHeight="true" outlineLevel="0" collapsed="false">
      <c r="A21" s="42" t="s">
        <v>165</v>
      </c>
      <c r="C21" s="43" t="s">
        <v>152</v>
      </c>
      <c r="D21" s="24" t="str">
        <f aca="false">IFERROR(IF(B21="","-",B21-C21),"-")</f>
        <v>-</v>
      </c>
      <c r="E21" s="43" t="s">
        <v>153</v>
      </c>
      <c r="F21" s="44" t="str">
        <f aca="false">IFERROR(IF(B21="","-",IF(ISNUMBER(B21)*((B21-C21)&gt;0),E21/(B21-C21),"-")),"-")</f>
        <v>-</v>
      </c>
      <c r="G21" s="44" t="str">
        <f aca="false">IFERROR(IF(B21="","-",IF(ISNUMBER(F21),F21*B21,"-")),"-")</f>
        <v>-</v>
      </c>
    </row>
    <row r="22" customFormat="false" ht="21.75" hidden="false" customHeight="true" outlineLevel="0" collapsed="false">
      <c r="A22" s="42" t="s">
        <v>166</v>
      </c>
      <c r="C22" s="43" t="s">
        <v>152</v>
      </c>
      <c r="D22" s="24" t="str">
        <f aca="false">IFERROR(IF(B22="","-",B22-C22),"-")</f>
        <v>-</v>
      </c>
      <c r="E22" s="43" t="s">
        <v>153</v>
      </c>
      <c r="F22" s="44" t="str">
        <f aca="false">IFERROR(IF(B22="","-",IF(ISNUMBER(B22)*((B22-C22)&gt;0),E22/(B22-C22),"-")),"-")</f>
        <v>-</v>
      </c>
      <c r="G22" s="44" t="str">
        <f aca="false">IFERROR(IF(B22="","-",IF(ISNUMBER(F22),F22*B22,"-")),"-")</f>
        <v>-</v>
      </c>
    </row>
    <row r="23" customFormat="false" ht="21.75" hidden="false" customHeight="true" outlineLevel="0" collapsed="false">
      <c r="A23" s="42" t="s">
        <v>167</v>
      </c>
      <c r="C23" s="43" t="s">
        <v>152</v>
      </c>
      <c r="D23" s="24" t="str">
        <f aca="false">IFERROR(IF(B23="","-",B23-C23),"-")</f>
        <v>-</v>
      </c>
      <c r="E23" s="43" t="s">
        <v>153</v>
      </c>
      <c r="F23" s="44" t="str">
        <f aca="false">IFERROR(IF(B23="","-",IF(ISNUMBER(B23)*((B23-C23)&gt;0),E23/(B23-C23),"-")),"-")</f>
        <v>-</v>
      </c>
      <c r="G23" s="44" t="str">
        <f aca="false">IFERROR(IF(B23="","-",IF(ISNUMBER(F23),F23*B23,"-")),"-")</f>
        <v>-</v>
      </c>
    </row>
    <row r="24" customFormat="false" ht="21.75" hidden="false" customHeight="true" outlineLevel="0" collapsed="false">
      <c r="A24" s="42" t="s">
        <v>168</v>
      </c>
      <c r="C24" s="43" t="s">
        <v>152</v>
      </c>
      <c r="D24" s="24" t="str">
        <f aca="false">IFERROR(IF(B24="","-",B24-C24),"-")</f>
        <v>-</v>
      </c>
      <c r="E24" s="43" t="s">
        <v>153</v>
      </c>
      <c r="F24" s="44" t="str">
        <f aca="false">IFERROR(IF(B24="","-",IF(ISNUMBER(B24)*((B24-C24)&gt;0),E24/(B24-C24),"-")),"-")</f>
        <v>-</v>
      </c>
      <c r="G24" s="44" t="str">
        <f aca="false">IFERROR(IF(B24="","-",IF(ISNUMBER(F24),F24*B24,"-")),"-")</f>
        <v>-</v>
      </c>
    </row>
    <row r="25" customFormat="false" ht="21.75" hidden="false" customHeight="true" outlineLevel="0" collapsed="false">
      <c r="A25" s="42" t="s">
        <v>169</v>
      </c>
      <c r="C25" s="43" t="s">
        <v>152</v>
      </c>
      <c r="D25" s="24" t="str">
        <f aca="false">IFERROR(IF(B25="","-",B25-C25),"-")</f>
        <v>-</v>
      </c>
      <c r="E25" s="43" t="s">
        <v>153</v>
      </c>
      <c r="F25" s="44" t="str">
        <f aca="false">IFERROR(IF(B25="","-",IF(ISNUMBER(B25)*((B25-C25)&gt;0),E25/(B25-C25),"-")),"-")</f>
        <v>-</v>
      </c>
      <c r="G25" s="44" t="str">
        <f aca="false">IFERROR(IF(B25="","-",IF(ISNUMBER(F25),F25*B25,"-")),"-")</f>
        <v>-</v>
      </c>
    </row>
    <row r="26" customFormat="false" ht="21.75" hidden="false" customHeight="true" outlineLevel="0" collapsed="false">
      <c r="A26" s="42" t="s">
        <v>170</v>
      </c>
      <c r="C26" s="43" t="s">
        <v>152</v>
      </c>
      <c r="D26" s="24" t="str">
        <f aca="false">IFERROR(IF(B26="","-",B26-C26),"-")</f>
        <v>-</v>
      </c>
      <c r="E26" s="43" t="s">
        <v>153</v>
      </c>
      <c r="F26" s="44" t="str">
        <f aca="false">IFERROR(IF(B26="","-",IF(ISNUMBER(B26)*((B26-C26)&gt;0),E26/(B26-C26),"-")),"-")</f>
        <v>-</v>
      </c>
      <c r="G26" s="44" t="str">
        <f aca="false">IFERROR(IF(B26="","-",IF(ISNUMBER(F26),F26*B26,"-")),"-")</f>
        <v>-</v>
      </c>
    </row>
    <row r="27" customFormat="false" ht="21.75" hidden="false" customHeight="true" outlineLevel="0" collapsed="false">
      <c r="A27" s="42" t="s">
        <v>171</v>
      </c>
      <c r="C27" s="43" t="s">
        <v>152</v>
      </c>
      <c r="D27" s="24" t="str">
        <f aca="false">IFERROR(IF(B27="","-",B27-C27),"-")</f>
        <v>-</v>
      </c>
      <c r="E27" s="43" t="s">
        <v>153</v>
      </c>
      <c r="F27" s="44" t="str">
        <f aca="false">IFERROR(IF(B27="","-",IF(ISNUMBER(B27)*((B27-C27)&gt;0),E27/(B27-C27),"-")),"-")</f>
        <v>-</v>
      </c>
      <c r="G27" s="44" t="str">
        <f aca="false">IFERROR(IF(B27="","-",IF(ISNUMBER(F27),F27*B27,"-")),"-")</f>
        <v>-</v>
      </c>
    </row>
    <row r="28" customFormat="false" ht="21.75" hidden="false" customHeight="true" outlineLevel="0" collapsed="false">
      <c r="A28" s="42" t="s">
        <v>172</v>
      </c>
      <c r="C28" s="43" t="s">
        <v>152</v>
      </c>
      <c r="D28" s="24" t="str">
        <f aca="false">IFERROR(IF(B28="","-",B28-C28),"-")</f>
        <v>-</v>
      </c>
      <c r="E28" s="43" t="s">
        <v>153</v>
      </c>
      <c r="F28" s="44" t="str">
        <f aca="false">IFERROR(IF(B28="","-",IF(ISNUMBER(B28)*((B28-C28)&gt;0),E28/(B28-C28),"-")),"-")</f>
        <v>-</v>
      </c>
      <c r="G28" s="44" t="str">
        <f aca="false">IFERROR(IF(B28="","-",IF(ISNUMBER(F28),F28*B28,"-")),"-")</f>
        <v>-</v>
      </c>
    </row>
    <row r="29" customFormat="false" ht="21.75" hidden="false" customHeight="true" outlineLevel="0" collapsed="false">
      <c r="A29" s="42" t="s">
        <v>173</v>
      </c>
      <c r="C29" s="43" t="s">
        <v>152</v>
      </c>
      <c r="D29" s="24" t="str">
        <f aca="false">IFERROR(IF(B29="","-",B29-C29),"-")</f>
        <v>-</v>
      </c>
      <c r="E29" s="43" t="s">
        <v>153</v>
      </c>
      <c r="F29" s="44" t="str">
        <f aca="false">IFERROR(IF(B29="","-",IF(ISNUMBER(B29)*((B29-C29)&gt;0),E29/(B29-C29),"-")),"-")</f>
        <v>-</v>
      </c>
      <c r="G29" s="44" t="str">
        <f aca="false">IFERROR(IF(B29="","-",IF(ISNUMBER(F29),F29*B29,"-")),"-")</f>
        <v>-</v>
      </c>
    </row>
    <row r="30" customFormat="false" ht="21.75" hidden="false" customHeight="true" outlineLevel="0" collapsed="false">
      <c r="A30" s="42" t="s">
        <v>174</v>
      </c>
      <c r="C30" s="43" t="s">
        <v>152</v>
      </c>
      <c r="D30" s="24" t="str">
        <f aca="false">IFERROR(IF(B30="","-",B30-C30),"-")</f>
        <v>-</v>
      </c>
      <c r="E30" s="43" t="s">
        <v>153</v>
      </c>
      <c r="F30" s="44" t="str">
        <f aca="false">IFERROR(IF(B30="","-",IF(ISNUMBER(B30)*((B30-C30)&gt;0),E30/(B30-C30),"-")),"-")</f>
        <v>-</v>
      </c>
      <c r="G30" s="44" t="str">
        <f aca="false">IFERROR(IF(B30="","-",IF(ISNUMBER(F30),F30*B30,"-")),"-")</f>
        <v>-</v>
      </c>
    </row>
    <row r="31" customFormat="false" ht="21.75" hidden="false" customHeight="true" outlineLevel="0" collapsed="false">
      <c r="A31" s="42" t="s">
        <v>175</v>
      </c>
      <c r="C31" s="43" t="s">
        <v>152</v>
      </c>
      <c r="D31" s="24" t="str">
        <f aca="false">IFERROR(IF(B31="","-",B31-C31),"-")</f>
        <v>-</v>
      </c>
      <c r="E31" s="43" t="s">
        <v>153</v>
      </c>
      <c r="F31" s="44" t="str">
        <f aca="false">IFERROR(IF(B31="","-",IF(ISNUMBER(B31)*((B31-C31)&gt;0),E31/(B31-C31),"-")),"-")</f>
        <v>-</v>
      </c>
      <c r="G31" s="44" t="str">
        <f aca="false">IFERROR(IF(B31="","-",IF(ISNUMBER(F31),F31*B31,"-")),"-")</f>
        <v>-</v>
      </c>
    </row>
    <row r="32" customFormat="false" ht="21.75" hidden="false" customHeight="true" outlineLevel="0" collapsed="false">
      <c r="A32" s="42" t="s">
        <v>176</v>
      </c>
      <c r="C32" s="43" t="s">
        <v>152</v>
      </c>
      <c r="D32" s="24" t="str">
        <f aca="false">IFERROR(IF(B32="","-",B32-C32),"-")</f>
        <v>-</v>
      </c>
      <c r="E32" s="43" t="s">
        <v>153</v>
      </c>
      <c r="F32" s="44" t="str">
        <f aca="false">IFERROR(IF(B32="","-",IF(ISNUMBER(B32)*((B32-C32)&gt;0),E32/(B32-C32),"-")),"-")</f>
        <v>-</v>
      </c>
      <c r="G32" s="44" t="str">
        <f aca="false">IFERROR(IF(B32="","-",IF(ISNUMBER(F32),F32*B32,"-")),"-")</f>
        <v>-</v>
      </c>
    </row>
    <row r="33" customFormat="false" ht="21.75" hidden="false" customHeight="true" outlineLevel="0" collapsed="false">
      <c r="A33" s="42" t="s">
        <v>177</v>
      </c>
      <c r="C33" s="43" t="s">
        <v>152</v>
      </c>
      <c r="D33" s="24" t="str">
        <f aca="false">IFERROR(IF(B33="","-",B33-C33),"-")</f>
        <v>-</v>
      </c>
      <c r="E33" s="43" t="s">
        <v>153</v>
      </c>
      <c r="F33" s="44" t="str">
        <f aca="false">IFERROR(IF(B33="","-",IF(ISNUMBER(B33)*((B33-C33)&gt;0),E33/(B33-C33),"-")),"-")</f>
        <v>-</v>
      </c>
      <c r="G33" s="44" t="str">
        <f aca="false">IFERROR(IF(B33="","-",IF(ISNUMBER(F33),F33*B33,"-")),"-")</f>
        <v>-</v>
      </c>
    </row>
    <row r="34" customFormat="false" ht="21.75" hidden="false" customHeight="true" outlineLevel="0" collapsed="false">
      <c r="A34" s="42" t="s">
        <v>178</v>
      </c>
      <c r="C34" s="43" t="s">
        <v>152</v>
      </c>
      <c r="D34" s="24" t="str">
        <f aca="false">IFERROR(IF(B34="","-",B34-C34),"-")</f>
        <v>-</v>
      </c>
      <c r="E34" s="43" t="s">
        <v>153</v>
      </c>
      <c r="F34" s="44" t="str">
        <f aca="false">IFERROR(IF(B34="","-",IF(ISNUMBER(B34)*((B34-C34)&gt;0),E34/(B34-C34),"-")),"-")</f>
        <v>-</v>
      </c>
      <c r="G34" s="44" t="str">
        <f aca="false">IFERROR(IF(B34="","-",IF(ISNUMBER(F34),F34*B34,"-")),"-")</f>
        <v>-</v>
      </c>
    </row>
    <row r="35" customFormat="false" ht="21.75" hidden="false" customHeight="true" outlineLevel="0" collapsed="false">
      <c r="A35" s="42" t="s">
        <v>179</v>
      </c>
      <c r="C35" s="43" t="s">
        <v>152</v>
      </c>
      <c r="D35" s="24" t="str">
        <f aca="false">IFERROR(IF(B35="","-",B35-C35),"-")</f>
        <v>-</v>
      </c>
      <c r="E35" s="43" t="s">
        <v>153</v>
      </c>
      <c r="F35" s="44" t="str">
        <f aca="false">IFERROR(IF(B35="","-",IF(ISNUMBER(B35)*((B35-C35)&gt;0),E35/(B35-C35),"-")),"-")</f>
        <v>-</v>
      </c>
      <c r="G35" s="44" t="str">
        <f aca="false">IFERROR(IF(B35="","-",IF(ISNUMBER(F35),F35*B35,"-")),"-")</f>
        <v>-</v>
      </c>
    </row>
    <row r="36" customFormat="false" ht="21.75" hidden="false" customHeight="true" outlineLevel="0" collapsed="false">
      <c r="A36" s="42" t="s">
        <v>180</v>
      </c>
      <c r="C36" s="43" t="s">
        <v>152</v>
      </c>
      <c r="D36" s="24" t="str">
        <f aca="false">IFERROR(IF(B36="","-",B36-C36),"-")</f>
        <v>-</v>
      </c>
      <c r="E36" s="43" t="s">
        <v>153</v>
      </c>
      <c r="F36" s="44" t="str">
        <f aca="false">IFERROR(IF(B36="","-",IF(ISNUMBER(B36)*((B36-C36)&gt;0),E36/(B36-C36),"-")),"-")</f>
        <v>-</v>
      </c>
      <c r="G36" s="44" t="str">
        <f aca="false">IFERROR(IF(B36="","-",IF(ISNUMBER(F36),F36*B36,"-")),"-")</f>
        <v>-</v>
      </c>
    </row>
    <row r="37" customFormat="false" ht="21.75" hidden="false" customHeight="true" outlineLevel="0" collapsed="false">
      <c r="A37" s="42" t="s">
        <v>181</v>
      </c>
      <c r="C37" s="43" t="s">
        <v>152</v>
      </c>
      <c r="D37" s="24" t="str">
        <f aca="false">IFERROR(IF(B37="","-",B37-C37),"-")</f>
        <v>-</v>
      </c>
      <c r="E37" s="43" t="s">
        <v>153</v>
      </c>
      <c r="F37" s="44" t="str">
        <f aca="false">IFERROR(IF(B37="","-",IF(ISNUMBER(B37)*((B37-C37)&gt;0),E37/(B37-C37),"-")),"-")</f>
        <v>-</v>
      </c>
      <c r="G37" s="44" t="str">
        <f aca="false">IFERROR(IF(B37="","-",IF(ISNUMBER(F37),F37*B37,"-")),"-")</f>
        <v>-</v>
      </c>
    </row>
    <row r="38" customFormat="false" ht="21.75" hidden="false" customHeight="true" outlineLevel="0" collapsed="false">
      <c r="A38" s="42" t="s">
        <v>182</v>
      </c>
      <c r="C38" s="43" t="s">
        <v>152</v>
      </c>
      <c r="D38" s="24" t="str">
        <f aca="false">IFERROR(IF(B38="","-",B38-C38),"-")</f>
        <v>-</v>
      </c>
      <c r="E38" s="43" t="s">
        <v>153</v>
      </c>
      <c r="F38" s="44" t="str">
        <f aca="false">IFERROR(IF(B38="","-",IF(ISNUMBER(B38)*((B38-C38)&gt;0),E38/(B38-C38),"-")),"-")</f>
        <v>-</v>
      </c>
      <c r="G38" s="44" t="str">
        <f aca="false">IFERROR(IF(B38="","-",IF(ISNUMBER(F38),F38*B38,"-")),"-")</f>
        <v>-</v>
      </c>
    </row>
    <row r="39" customFormat="false" ht="21.75" hidden="false" customHeight="true" outlineLevel="0" collapsed="false">
      <c r="A39" s="42" t="s">
        <v>183</v>
      </c>
      <c r="C39" s="43" t="s">
        <v>152</v>
      </c>
      <c r="D39" s="24" t="str">
        <f aca="false">IFERROR(IF(B39="","-",B39-C39),"-")</f>
        <v>-</v>
      </c>
      <c r="E39" s="43" t="s">
        <v>153</v>
      </c>
      <c r="F39" s="44" t="str">
        <f aca="false">IFERROR(IF(B39="","-",IF(ISNUMBER(B39)*((B39-C39)&gt;0),E39/(B39-C39),"-")),"-")</f>
        <v>-</v>
      </c>
      <c r="G39" s="44" t="str">
        <f aca="false">IFERROR(IF(B39="","-",IF(ISNUMBER(F39),F39*B39,"-")),"-")</f>
        <v>-</v>
      </c>
    </row>
    <row r="40" customFormat="false" ht="21.75" hidden="false" customHeight="true" outlineLevel="0" collapsed="false">
      <c r="A40" s="42" t="s">
        <v>184</v>
      </c>
      <c r="C40" s="43" t="s">
        <v>152</v>
      </c>
      <c r="D40" s="24" t="str">
        <f aca="false">IFERROR(IF(B40="","-",B40-C40),"-")</f>
        <v>-</v>
      </c>
      <c r="E40" s="43" t="s">
        <v>153</v>
      </c>
      <c r="F40" s="44" t="str">
        <f aca="false">IFERROR(IF(B40="","-",IF(ISNUMBER(B40)*((B40-C40)&gt;0),E40/(B40-C40),"-")),"-")</f>
        <v>-</v>
      </c>
      <c r="G40" s="44" t="str">
        <f aca="false">IFERROR(IF(B40="","-",IF(ISNUMBER(F40),F40*B40,"-")),"-")</f>
        <v>-</v>
      </c>
    </row>
    <row r="41" customFormat="false" ht="21.75" hidden="false" customHeight="true" outlineLevel="0" collapsed="false">
      <c r="A41" s="42" t="s">
        <v>185</v>
      </c>
      <c r="C41" s="43" t="s">
        <v>152</v>
      </c>
      <c r="D41" s="24" t="str">
        <f aca="false">IFERROR(IF(B41="","-",B41-C41),"-")</f>
        <v>-</v>
      </c>
      <c r="E41" s="43" t="s">
        <v>153</v>
      </c>
      <c r="F41" s="44" t="str">
        <f aca="false">IFERROR(IF(B41="","-",IF(ISNUMBER(B41)*((B41-C41)&gt;0),E41/(B41-C41),"-")),"-")</f>
        <v>-</v>
      </c>
      <c r="G41" s="44" t="str">
        <f aca="false">IFERROR(IF(B41="","-",IF(ISNUMBER(F41),F41*B41,"-")),"-")</f>
        <v>-</v>
      </c>
    </row>
    <row r="42" customFormat="false" ht="21.75" hidden="false" customHeight="true" outlineLevel="0" collapsed="false">
      <c r="A42" s="42" t="s">
        <v>186</v>
      </c>
      <c r="C42" s="43" t="s">
        <v>152</v>
      </c>
      <c r="D42" s="24" t="str">
        <f aca="false">IFERROR(IF(B42="","-",B42-C42),"-")</f>
        <v>-</v>
      </c>
      <c r="E42" s="43" t="s">
        <v>153</v>
      </c>
      <c r="F42" s="44" t="str">
        <f aca="false">IFERROR(IF(B42="","-",IF(ISNUMBER(B42)*((B42-C42)&gt;0),E42/(B42-C42),"-")),"-")</f>
        <v>-</v>
      </c>
      <c r="G42" s="44" t="str">
        <f aca="false">IFERROR(IF(B42="","-",IF(ISNUMBER(F42),F42*B42,"-")),"-")</f>
        <v>-</v>
      </c>
    </row>
    <row r="43" customFormat="false" ht="21.75" hidden="false" customHeight="true" outlineLevel="0" collapsed="false">
      <c r="A43" s="42" t="s">
        <v>187</v>
      </c>
      <c r="C43" s="43" t="s">
        <v>152</v>
      </c>
      <c r="D43" s="24" t="str">
        <f aca="false">IFERROR(IF(B43="","-",B43-C43),"-")</f>
        <v>-</v>
      </c>
      <c r="E43" s="43" t="s">
        <v>153</v>
      </c>
      <c r="F43" s="44" t="str">
        <f aca="false">IFERROR(IF(B43="","-",IF(ISNUMBER(B43)*((B43-C43)&gt;0),E43/(B43-C43),"-")),"-")</f>
        <v>-</v>
      </c>
      <c r="G43" s="44" t="str">
        <f aca="false">IFERROR(IF(B43="","-",IF(ISNUMBER(F43),F43*B43,"-")),"-")</f>
        <v>-</v>
      </c>
    </row>
    <row r="44" customFormat="false" ht="21.75" hidden="false" customHeight="true" outlineLevel="0" collapsed="false">
      <c r="A44" s="42" t="s">
        <v>188</v>
      </c>
      <c r="C44" s="43" t="s">
        <v>152</v>
      </c>
      <c r="D44" s="24" t="str">
        <f aca="false">IFERROR(IF(B44="","-",B44-C44),"-")</f>
        <v>-</v>
      </c>
      <c r="E44" s="43" t="s">
        <v>153</v>
      </c>
      <c r="F44" s="44" t="str">
        <f aca="false">IFERROR(IF(B44="","-",IF(ISNUMBER(B44)*((B44-C44)&gt;0),E44/(B44-C44),"-")),"-")</f>
        <v>-</v>
      </c>
      <c r="G44" s="44" t="str">
        <f aca="false">IFERROR(IF(B44="","-",IF(ISNUMBER(F44),F44*B44,"-")),"-")</f>
        <v>-</v>
      </c>
    </row>
    <row r="45" customFormat="false" ht="21.75" hidden="false" customHeight="true" outlineLevel="0" collapsed="false">
      <c r="A45" s="42" t="s">
        <v>189</v>
      </c>
      <c r="C45" s="43" t="s">
        <v>152</v>
      </c>
      <c r="D45" s="24" t="str">
        <f aca="false">IFERROR(IF(B45="","-",B45-C45),"-")</f>
        <v>-</v>
      </c>
      <c r="E45" s="43" t="s">
        <v>153</v>
      </c>
      <c r="F45" s="44" t="str">
        <f aca="false">IFERROR(IF(B45="","-",IF(ISNUMBER(B45)*((B45-C45)&gt;0),E45/(B45-C45),"-")),"-")</f>
        <v>-</v>
      </c>
      <c r="G45" s="44" t="str">
        <f aca="false">IFERROR(IF(B45="","-",IF(ISNUMBER(F45),F45*B45,"-")),"-")</f>
        <v>-</v>
      </c>
    </row>
    <row r="46" customFormat="false" ht="21.75" hidden="false" customHeight="true" outlineLevel="0" collapsed="false">
      <c r="A46" s="42" t="s">
        <v>190</v>
      </c>
      <c r="C46" s="43" t="s">
        <v>152</v>
      </c>
      <c r="D46" s="24" t="str">
        <f aca="false">IFERROR(IF(B46="","-",B46-C46),"-")</f>
        <v>-</v>
      </c>
      <c r="E46" s="43" t="s">
        <v>153</v>
      </c>
      <c r="F46" s="44" t="str">
        <f aca="false">IFERROR(IF(B46="","-",IF(ISNUMBER(B46)*((B46-C46)&gt;0),E46/(B46-C46),"-")),"-")</f>
        <v>-</v>
      </c>
      <c r="G46" s="44" t="str">
        <f aca="false">IFERROR(IF(B46="","-",IF(ISNUMBER(F46),F46*B46,"-")),"-")</f>
        <v>-</v>
      </c>
    </row>
    <row r="47" customFormat="false" ht="21.75" hidden="false" customHeight="true" outlineLevel="0" collapsed="false">
      <c r="A47" s="42" t="s">
        <v>191</v>
      </c>
      <c r="C47" s="43" t="s">
        <v>152</v>
      </c>
      <c r="D47" s="24" t="str">
        <f aca="false">IFERROR(IF(B47="","-",B47-C47),"-")</f>
        <v>-</v>
      </c>
      <c r="E47" s="43" t="s">
        <v>153</v>
      </c>
      <c r="F47" s="44" t="str">
        <f aca="false">IFERROR(IF(B47="","-",IF(ISNUMBER(B47)*((B47-C47)&gt;0),E47/(B47-C47),"-")),"-")</f>
        <v>-</v>
      </c>
      <c r="G47" s="44" t="str">
        <f aca="false">IFERROR(IF(B47="","-",IF(ISNUMBER(F47),F47*B47,"-")),"-")</f>
        <v>-</v>
      </c>
    </row>
    <row r="48" customFormat="false" ht="21.75" hidden="false" customHeight="true" outlineLevel="0" collapsed="false">
      <c r="A48" s="42" t="s">
        <v>192</v>
      </c>
      <c r="C48" s="43" t="s">
        <v>152</v>
      </c>
      <c r="D48" s="24" t="str">
        <f aca="false">IFERROR(IF(B48="","-",B48-C48),"-")</f>
        <v>-</v>
      </c>
      <c r="E48" s="43" t="s">
        <v>153</v>
      </c>
      <c r="F48" s="44" t="str">
        <f aca="false">IFERROR(IF(B48="","-",IF(ISNUMBER(B48)*((B48-C48)&gt;0),E48/(B48-C48),"-")),"-")</f>
        <v>-</v>
      </c>
      <c r="G48" s="44" t="str">
        <f aca="false">IFERROR(IF(B48="","-",IF(ISNUMBER(F48),F48*B48,"-")),"-")</f>
        <v>-</v>
      </c>
    </row>
    <row r="49" customFormat="false" ht="21.75" hidden="false" customHeight="true" outlineLevel="0" collapsed="false">
      <c r="A49" s="42" t="s">
        <v>193</v>
      </c>
      <c r="C49" s="43" t="s">
        <v>152</v>
      </c>
      <c r="D49" s="24" t="str">
        <f aca="false">IFERROR(IF(B49="","-",B49-C49),"-")</f>
        <v>-</v>
      </c>
      <c r="E49" s="43" t="s">
        <v>153</v>
      </c>
      <c r="F49" s="44" t="str">
        <f aca="false">IFERROR(IF(B49="","-",IF(ISNUMBER(B49)*((B49-C49)&gt;0),E49/(B49-C49),"-")),"-")</f>
        <v>-</v>
      </c>
      <c r="G49" s="44" t="str">
        <f aca="false">IFERROR(IF(B49="","-",IF(ISNUMBER(F49),F49*B49,"-")),"-")</f>
        <v>-</v>
      </c>
    </row>
    <row r="50" customFormat="false" ht="21.75" hidden="false" customHeight="true" outlineLevel="0" collapsed="false">
      <c r="A50" s="42" t="s">
        <v>194</v>
      </c>
      <c r="C50" s="43" t="s">
        <v>152</v>
      </c>
      <c r="D50" s="24" t="str">
        <f aca="false">IFERROR(IF(B50="","-",B50-C50),"-")</f>
        <v>-</v>
      </c>
      <c r="E50" s="43" t="s">
        <v>153</v>
      </c>
      <c r="F50" s="44" t="str">
        <f aca="false">IFERROR(IF(B50="","-",IF(ISNUMBER(B50)*((B50-C50)&gt;0),E50/(B50-C50),"-")),"-")</f>
        <v>-</v>
      </c>
      <c r="G50" s="44" t="str">
        <f aca="false">IFERROR(IF(B50="","-",IF(ISNUMBER(F50),F50*B50,"-")),"-")</f>
        <v>-</v>
      </c>
    </row>
    <row r="51" customFormat="false" ht="21.75" hidden="false" customHeight="true" outlineLevel="0" collapsed="false">
      <c r="A51" s="42" t="s">
        <v>195</v>
      </c>
      <c r="C51" s="43" t="s">
        <v>152</v>
      </c>
      <c r="D51" s="24" t="str">
        <f aca="false">IFERROR(IF(B51="","-",B51-C51),"-")</f>
        <v>-</v>
      </c>
      <c r="E51" s="43" t="s">
        <v>153</v>
      </c>
      <c r="F51" s="44" t="str">
        <f aca="false">IFERROR(IF(B51="","-",IF(ISNUMBER(B51)*((B51-C51)&gt;0),E51/(B51-C51),"-")),"-")</f>
        <v>-</v>
      </c>
      <c r="G51" s="44" t="str">
        <f aca="false">IFERROR(IF(B51="","-",IF(ISNUMBER(F51),F51*B51,"-")),"-")</f>
        <v>-</v>
      </c>
    </row>
    <row r="52" customFormat="false" ht="21.75" hidden="false" customHeight="true" outlineLevel="0" collapsed="false">
      <c r="A52" s="42" t="s">
        <v>196</v>
      </c>
      <c r="C52" s="43" t="s">
        <v>152</v>
      </c>
      <c r="D52" s="24" t="str">
        <f aca="false">IFERROR(IF(B52="","-",B52-C52),"-")</f>
        <v>-</v>
      </c>
      <c r="E52" s="43" t="s">
        <v>153</v>
      </c>
      <c r="F52" s="44" t="str">
        <f aca="false">IFERROR(IF(B52="","-",IF(ISNUMBER(B52)*((B52-C52)&gt;0),E52/(B52-C52),"-")),"-")</f>
        <v>-</v>
      </c>
      <c r="G52" s="44" t="str">
        <f aca="false">IFERROR(IF(B52="","-",IF(ISNUMBER(F52),F52*B52,"-")),"-")</f>
        <v>-</v>
      </c>
    </row>
    <row r="53" customFormat="false" ht="21.75" hidden="false" customHeight="true" outlineLevel="0" collapsed="false">
      <c r="A53" s="42" t="s">
        <v>197</v>
      </c>
      <c r="C53" s="43" t="s">
        <v>152</v>
      </c>
      <c r="D53" s="24" t="str">
        <f aca="false">IFERROR(IF(B53="","-",B53-C53),"-")</f>
        <v>-</v>
      </c>
      <c r="E53" s="43" t="s">
        <v>153</v>
      </c>
      <c r="F53" s="44" t="str">
        <f aca="false">IFERROR(IF(B53="","-",IF(ISNUMBER(B53)*((B53-C53)&gt;0),E53/(B53-C53),"-")),"-")</f>
        <v>-</v>
      </c>
      <c r="G53" s="44" t="str">
        <f aca="false">IFERROR(IF(B53="","-",IF(ISNUMBER(F53),F53*B53,"-")),"-")</f>
        <v>-</v>
      </c>
    </row>
    <row r="54" customFormat="false" ht="21.75" hidden="false" customHeight="true" outlineLevel="0" collapsed="false">
      <c r="A54" s="42" t="s">
        <v>198</v>
      </c>
      <c r="C54" s="43" t="s">
        <v>152</v>
      </c>
      <c r="D54" s="24" t="str">
        <f aca="false">IFERROR(IF(B54="","-",B54-C54),"-")</f>
        <v>-</v>
      </c>
      <c r="E54" s="43" t="s">
        <v>153</v>
      </c>
      <c r="F54" s="44" t="str">
        <f aca="false">IFERROR(IF(B54="","-",IF(ISNUMBER(B54)*((B54-C54)&gt;0),E54/(B54-C54),"-")),"-")</f>
        <v>-</v>
      </c>
      <c r="G54" s="44" t="str">
        <f aca="false">IFERROR(IF(B54="","-",IF(ISNUMBER(F54),F54*B54,"-")),"-")</f>
        <v>-</v>
      </c>
    </row>
    <row r="55" customFormat="false" ht="21.75" hidden="false" customHeight="true" outlineLevel="0" collapsed="false">
      <c r="A55" s="42" t="s">
        <v>199</v>
      </c>
      <c r="C55" s="43" t="s">
        <v>152</v>
      </c>
      <c r="D55" s="24" t="str">
        <f aca="false">IFERROR(IF(B55="","-",B55-C55),"-")</f>
        <v>-</v>
      </c>
      <c r="E55" s="43" t="s">
        <v>153</v>
      </c>
      <c r="F55" s="44" t="str">
        <f aca="false">IFERROR(IF(B55="","-",IF(ISNUMBER(B55)*((B55-C55)&gt;0),E55/(B55-C55),"-")),"-")</f>
        <v>-</v>
      </c>
      <c r="G55" s="44" t="str">
        <f aca="false">IFERROR(IF(B55="","-",IF(ISNUMBER(F55),F55*B55,"-")),"-")</f>
        <v>-</v>
      </c>
    </row>
    <row r="56" customFormat="false" ht="21.75" hidden="false" customHeight="true" outlineLevel="0" collapsed="false">
      <c r="A56" s="42" t="s">
        <v>200</v>
      </c>
      <c r="C56" s="43" t="s">
        <v>152</v>
      </c>
      <c r="D56" s="24" t="str">
        <f aca="false">IFERROR(IF(B56="","-",B56-C56),"-")</f>
        <v>-</v>
      </c>
      <c r="E56" s="43" t="s">
        <v>153</v>
      </c>
      <c r="F56" s="44" t="str">
        <f aca="false">IFERROR(IF(B56="","-",IF(ISNUMBER(B56)*((B56-C56)&gt;0),E56/(B56-C56),"-")),"-")</f>
        <v>-</v>
      </c>
      <c r="G56" s="44" t="str">
        <f aca="false">IFERROR(IF(B56="","-",IF(ISNUMBER(F56),F56*B56,"-")),"-")</f>
        <v>-</v>
      </c>
    </row>
    <row r="57" customFormat="false" ht="21.75" hidden="false" customHeight="true" outlineLevel="0" collapsed="false">
      <c r="A57" s="42" t="s">
        <v>201</v>
      </c>
      <c r="C57" s="43" t="s">
        <v>152</v>
      </c>
      <c r="D57" s="24" t="str">
        <f aca="false">IFERROR(IF(B57="","-",B57-C57),"-")</f>
        <v>-</v>
      </c>
      <c r="E57" s="43" t="s">
        <v>153</v>
      </c>
      <c r="F57" s="44" t="str">
        <f aca="false">IFERROR(IF(B57="","-",IF(ISNUMBER(B57)*((B57-C57)&gt;0),E57/(B57-C57),"-")),"-")</f>
        <v>-</v>
      </c>
      <c r="G57" s="44" t="str">
        <f aca="false">IFERROR(IF(B57="","-",IF(ISNUMBER(F57),F57*B57,"-")),"-")</f>
        <v>-</v>
      </c>
    </row>
    <row r="58" customFormat="false" ht="21.75" hidden="false" customHeight="true" outlineLevel="0" collapsed="false">
      <c r="A58" s="42" t="s">
        <v>202</v>
      </c>
      <c r="C58" s="43" t="s">
        <v>152</v>
      </c>
      <c r="D58" s="24" t="str">
        <f aca="false">IFERROR(IF(B58="","-",B58-C58),"-")</f>
        <v>-</v>
      </c>
      <c r="E58" s="43" t="s">
        <v>153</v>
      </c>
      <c r="F58" s="44" t="str">
        <f aca="false">IFERROR(IF(B58="","-",IF(ISNUMBER(B58)*((B58-C58)&gt;0),E58/(B58-C58),"-")),"-")</f>
        <v>-</v>
      </c>
      <c r="G58" s="44" t="str">
        <f aca="false">IFERROR(IF(B58="","-",IF(ISNUMBER(F58),F58*B58,"-")),"-")</f>
        <v>-</v>
      </c>
    </row>
    <row r="59" customFormat="false" ht="15" hidden="false" customHeight="true" outlineLevel="0" collapsed="false">
      <c r="B59" s="45" t="n">
        <f aca="false">IFERROR(AVERAGEIF(B9:B58,"&gt;0"),0)</f>
        <v>69.99</v>
      </c>
      <c r="C59" s="1" t="s">
        <v>152</v>
      </c>
      <c r="D59" s="1" t="n">
        <f aca="false">IFERROR(B59-C59,0)</f>
        <v>0</v>
      </c>
      <c r="E59" s="1" t="s">
        <v>153</v>
      </c>
      <c r="F59" s="46" t="n">
        <f aca="false">IFERROR(IF(D59&gt;0,E59/D59,0),0)</f>
        <v>0</v>
      </c>
      <c r="G59" s="46" t="n">
        <f aca="false">IFERROR(F59*B59,0)</f>
        <v>0</v>
      </c>
    </row>
    <row r="60" customFormat="false" ht="21.75" hidden="false" customHeight="true" outlineLevel="0" collapsed="false">
      <c r="A60" s="8" t="s">
        <v>203</v>
      </c>
      <c r="B60" s="8"/>
      <c r="C60" s="8"/>
      <c r="D60" s="8"/>
      <c r="E60" s="8"/>
      <c r="F60" s="8"/>
      <c r="G60" s="8"/>
      <c r="H60" s="8"/>
    </row>
    <row r="61" customFormat="false" ht="21.75" hidden="false" customHeight="true" outlineLevel="0" collapsed="false">
      <c r="A61" s="30" t="s">
        <v>204</v>
      </c>
      <c r="B61" s="43" t="n">
        <f aca="false">COUNTIF(B9:B58,"&gt;0")</f>
        <v>10</v>
      </c>
    </row>
    <row r="62" customFormat="false" ht="21.75" hidden="false" customHeight="true" outlineLevel="0" collapsed="false">
      <c r="A62" s="30" t="s">
        <v>205</v>
      </c>
      <c r="B62" s="40" t="s">
        <v>153</v>
      </c>
    </row>
    <row r="63" customFormat="false" ht="21.75" hidden="false" customHeight="true" outlineLevel="0" collapsed="false">
      <c r="A63" s="30" t="s">
        <v>206</v>
      </c>
      <c r="B63" s="38" t="n">
        <f aca="false">IFERROR(AVERAGEIF(B9:B58,"&gt;0"),0)</f>
        <v>69.99</v>
      </c>
    </row>
    <row r="64" customFormat="false" ht="21.75" hidden="false" customHeight="true" outlineLevel="0" collapsed="false">
      <c r="A64" s="30" t="s">
        <v>207</v>
      </c>
      <c r="B64" s="38" t="s">
        <v>152</v>
      </c>
    </row>
    <row r="65" customFormat="false" ht="21.75" hidden="false" customHeight="true" outlineLevel="0" collapsed="false">
      <c r="A65" s="30" t="s">
        <v>208</v>
      </c>
      <c r="B65" s="38" t="n">
        <f aca="false">IFERROR(B63-B64,0)</f>
        <v>0</v>
      </c>
    </row>
    <row r="66" customFormat="false" ht="21.75" hidden="false" customHeight="true" outlineLevel="0" collapsed="false">
      <c r="A66" s="30" t="s">
        <v>209</v>
      </c>
      <c r="B66" s="40" t="n">
        <f aca="false">IFERROR(IF(B65&gt;0,B62/B65,0),0)</f>
        <v>0</v>
      </c>
    </row>
    <row r="67" customFormat="false" ht="21.75" hidden="false" customHeight="true" outlineLevel="0" collapsed="false">
      <c r="A67" s="30" t="s">
        <v>210</v>
      </c>
      <c r="B67" s="40" t="n">
        <f aca="false">IFERROR(B66*B63,0)</f>
        <v>0</v>
      </c>
    </row>
    <row r="73" customFormat="false" ht="15" hidden="false" customHeight="true" outlineLevel="0" collapsed="false">
      <c r="A73" s="19" t="s">
        <v>211</v>
      </c>
      <c r="B73" s="47" t="n">
        <f aca="false">IFERROR(B66,0)</f>
        <v>0</v>
      </c>
    </row>
  </sheetData>
  <mergeCells count="4">
    <mergeCell ref="A1:H1"/>
    <mergeCell ref="A2:H2"/>
    <mergeCell ref="A4:H4"/>
    <mergeCell ref="A60:H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22"/>
    <col collapsed="false" customWidth="true" hidden="false" outlineLevel="0" max="3" min="3" style="1" width="30"/>
    <col collapsed="false" customWidth="true" hidden="false" outlineLevel="0" max="6" min="4" style="1" width="22"/>
  </cols>
  <sheetData>
    <row r="1" customFormat="false" ht="27.75" hidden="false" customHeight="true" outlineLevel="0" collapsed="false">
      <c r="A1" s="14" t="s">
        <v>212</v>
      </c>
      <c r="B1" s="14"/>
      <c r="C1" s="14"/>
      <c r="D1" s="14"/>
      <c r="E1" s="14"/>
      <c r="F1" s="14"/>
    </row>
    <row r="2" customFormat="false" ht="15" hidden="false" customHeight="true" outlineLevel="0" collapsed="false">
      <c r="A2" s="15" t="s">
        <v>213</v>
      </c>
      <c r="B2" s="15"/>
      <c r="C2" s="15"/>
      <c r="D2" s="15"/>
      <c r="E2" s="15"/>
      <c r="F2" s="15"/>
    </row>
    <row r="3" customFormat="false" ht="21.75" hidden="false" customHeight="true" outlineLevel="0" collapsed="false">
      <c r="A3" s="8" t="s">
        <v>214</v>
      </c>
      <c r="B3" s="8"/>
      <c r="C3" s="8"/>
      <c r="D3" s="8"/>
      <c r="E3" s="8"/>
      <c r="F3" s="8"/>
    </row>
    <row r="4" customFormat="false" ht="24" hidden="false" customHeight="true" outlineLevel="0" collapsed="false">
      <c r="A4" s="30" t="s">
        <v>215</v>
      </c>
      <c r="B4" s="38" t="s">
        <v>153</v>
      </c>
      <c r="C4" s="48" t="s">
        <v>216</v>
      </c>
    </row>
    <row r="5" customFormat="false" ht="24" hidden="false" customHeight="true" outlineLevel="0" collapsed="false">
      <c r="A5" s="30" t="s">
        <v>217</v>
      </c>
      <c r="B5" s="38" t="s">
        <v>152</v>
      </c>
      <c r="C5" s="48" t="s">
        <v>216</v>
      </c>
    </row>
    <row r="6" customFormat="false" ht="24" hidden="false" customHeight="true" outlineLevel="0" collapsed="false">
      <c r="A6" s="30" t="s">
        <v>206</v>
      </c>
      <c r="B6" s="31" t="n">
        <v>58.61</v>
      </c>
      <c r="C6" s="48" t="s">
        <v>218</v>
      </c>
    </row>
    <row r="7" customFormat="false" ht="24" hidden="false" customHeight="true" outlineLevel="0" collapsed="false">
      <c r="A7" s="30" t="s">
        <v>219</v>
      </c>
      <c r="B7" s="31" t="n">
        <v>6000</v>
      </c>
      <c r="C7" s="48" t="s">
        <v>220</v>
      </c>
    </row>
    <row r="8" customFormat="false" ht="24" hidden="false" customHeight="true" outlineLevel="0" collapsed="false">
      <c r="A8" s="30" t="s">
        <v>221</v>
      </c>
      <c r="B8" s="31" t="n">
        <v>1761</v>
      </c>
      <c r="C8" s="48" t="s">
        <v>222</v>
      </c>
    </row>
    <row r="9" customFormat="false" ht="21.75" hidden="false" customHeight="true" outlineLevel="0" collapsed="false">
      <c r="A9" s="8" t="s">
        <v>223</v>
      </c>
      <c r="B9" s="8"/>
      <c r="C9" s="8"/>
      <c r="D9" s="8"/>
      <c r="E9" s="8"/>
      <c r="F9" s="8"/>
    </row>
    <row r="10" customFormat="false" ht="24" hidden="false" customHeight="true" outlineLevel="0" collapsed="false">
      <c r="A10" s="30" t="s">
        <v>208</v>
      </c>
      <c r="B10" s="49" t="n">
        <f aca="false">B7-B6</f>
        <v>5941.39</v>
      </c>
    </row>
    <row r="11" customFormat="false" ht="24" hidden="false" customHeight="true" outlineLevel="0" collapsed="false">
      <c r="A11" s="30" t="s">
        <v>224</v>
      </c>
      <c r="B11" s="50" t="n">
        <f aca="false">IFERROR(IF(B10&gt;0,B5/B10,0),0)</f>
        <v>0</v>
      </c>
    </row>
    <row r="12" customFormat="false" ht="24" hidden="false" customHeight="true" outlineLevel="0" collapsed="false">
      <c r="A12" s="30" t="s">
        <v>210</v>
      </c>
      <c r="B12" s="50" t="n">
        <f aca="false">IFERROR(B11*B7,0)</f>
        <v>0</v>
      </c>
    </row>
    <row r="13" customFormat="false" ht="24" hidden="false" customHeight="true" outlineLevel="0" collapsed="false">
      <c r="A13" s="30" t="s">
        <v>225</v>
      </c>
      <c r="B13" s="50" t="n">
        <f aca="false">IFERROR((B5+B8)/(B7-B6),0)</f>
        <v>0</v>
      </c>
    </row>
    <row r="14" customFormat="false" ht="24" hidden="false" customHeight="true" outlineLevel="0" collapsed="false">
      <c r="A14" s="30" t="s">
        <v>226</v>
      </c>
      <c r="B14" s="50" t="n">
        <f aca="false">IFERROR(B13*B7,0)</f>
        <v>0</v>
      </c>
    </row>
    <row r="15" customFormat="false" ht="24" hidden="false" customHeight="true" outlineLevel="0" collapsed="false">
      <c r="A15" s="30" t="s">
        <v>227</v>
      </c>
      <c r="B15" s="50" t="n">
        <f aca="false">IFERROR(B9*B7,0)</f>
        <v>0</v>
      </c>
    </row>
    <row r="16" customFormat="false" ht="24" hidden="false" customHeight="true" outlineLevel="0" collapsed="false">
      <c r="A16" s="30" t="s">
        <v>228</v>
      </c>
      <c r="B16" s="50" t="n">
        <f aca="false">IFERROR(B15-B5-B6*B9,0)</f>
        <v>0</v>
      </c>
    </row>
    <row r="17" customFormat="false" ht="24" hidden="false" customHeight="true" outlineLevel="0" collapsed="false">
      <c r="A17" s="30" t="s">
        <v>229</v>
      </c>
      <c r="B17" s="50" t="n">
        <f aca="false">IFERROR(B9-B13,0)</f>
        <v>0</v>
      </c>
    </row>
    <row r="18" customFormat="false" ht="24" hidden="false" customHeight="true" outlineLevel="0" collapsed="false">
      <c r="A18" s="30" t="s">
        <v>230</v>
      </c>
      <c r="B18" s="51" t="n">
        <f aca="false">IFERROR(B18/B9,0)</f>
        <v>0</v>
      </c>
    </row>
  </sheetData>
  <mergeCells count="4">
    <mergeCell ref="A1:F1"/>
    <mergeCell ref="A2:F2"/>
    <mergeCell ref="A3:F3"/>
    <mergeCell ref="A9:F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14" min="2" style="1" width="12"/>
  </cols>
  <sheetData>
    <row r="1" customFormat="false" ht="27.75" hidden="false" customHeight="true" outlineLevel="0" collapsed="false">
      <c r="A1" s="14" t="s">
        <v>231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customFormat="false" ht="18" hidden="false" customHeight="true" outlineLevel="0" collapsed="false">
      <c r="A2" s="52" t="s">
        <v>232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customFormat="false" ht="21.75" hidden="false" customHeight="true" outlineLevel="0" collapsed="false">
      <c r="A3" s="53" t="s">
        <v>233</v>
      </c>
      <c r="B3" s="54" t="s">
        <v>234</v>
      </c>
      <c r="C3" s="54" t="s">
        <v>235</v>
      </c>
      <c r="D3" s="54" t="s">
        <v>236</v>
      </c>
      <c r="E3" s="54" t="s">
        <v>237</v>
      </c>
      <c r="F3" s="54" t="s">
        <v>238</v>
      </c>
      <c r="G3" s="54" t="s">
        <v>239</v>
      </c>
      <c r="H3" s="54" t="s">
        <v>240</v>
      </c>
      <c r="I3" s="54" t="s">
        <v>241</v>
      </c>
      <c r="J3" s="54" t="s">
        <v>242</v>
      </c>
      <c r="K3" s="54" t="s">
        <v>243</v>
      </c>
      <c r="L3" s="54" t="s">
        <v>244</v>
      </c>
      <c r="M3" s="54" t="s">
        <v>245</v>
      </c>
      <c r="N3" s="54" t="s">
        <v>246</v>
      </c>
    </row>
    <row r="4" customFormat="false" ht="24" hidden="false" customHeight="true" outlineLevel="0" collapsed="false">
      <c r="A4" s="9" t="s">
        <v>247</v>
      </c>
      <c r="B4" s="31" t="n">
        <v>18000</v>
      </c>
      <c r="C4" s="50" t="n">
        <f aca="false">C22</f>
        <v>0</v>
      </c>
      <c r="D4" s="50" t="n">
        <f aca="false">D22</f>
        <v>0</v>
      </c>
      <c r="E4" s="50" t="n">
        <f aca="false">E22</f>
        <v>0</v>
      </c>
      <c r="F4" s="50" t="n">
        <f aca="false">F22</f>
        <v>0</v>
      </c>
      <c r="G4" s="50" t="n">
        <f aca="false">G22</f>
        <v>0</v>
      </c>
      <c r="H4" s="50" t="n">
        <f aca="false">H22</f>
        <v>0</v>
      </c>
      <c r="I4" s="50" t="n">
        <f aca="false">I22</f>
        <v>0</v>
      </c>
      <c r="J4" s="50" t="n">
        <f aca="false">J22</f>
        <v>0</v>
      </c>
      <c r="K4" s="50" t="n">
        <f aca="false">K22</f>
        <v>0</v>
      </c>
      <c r="L4" s="50" t="n">
        <f aca="false">L22</f>
        <v>0</v>
      </c>
      <c r="M4" s="50" t="n">
        <f aca="false">M22</f>
        <v>0</v>
      </c>
    </row>
    <row r="5" customFormat="false" ht="21.75" hidden="false" customHeight="true" outlineLevel="0" collapsed="false">
      <c r="A5" s="8" t="s">
        <v>248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21.75" hidden="false" customHeight="true" outlineLevel="0" collapsed="false">
      <c r="A6" s="30" t="s">
        <v>249</v>
      </c>
      <c r="N6" s="55" t="n">
        <f aca="false">SUM(B6:M6)</f>
        <v>0</v>
      </c>
    </row>
    <row r="7" customFormat="false" ht="21.75" hidden="false" customHeight="true" outlineLevel="0" collapsed="false">
      <c r="A7" s="30" t="s">
        <v>250</v>
      </c>
      <c r="B7" s="31" t="n">
        <v>0</v>
      </c>
      <c r="C7" s="31" t="n">
        <v>0</v>
      </c>
      <c r="D7" s="31" t="n">
        <v>0</v>
      </c>
      <c r="E7" s="31" t="n">
        <v>0</v>
      </c>
      <c r="F7" s="31" t="n">
        <v>0</v>
      </c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55" t="n">
        <f aca="false">SUM(B7:M7)</f>
        <v>0</v>
      </c>
    </row>
    <row r="8" customFormat="false" ht="21.75" hidden="false" customHeight="true" outlineLevel="0" collapsed="false">
      <c r="A8" s="30" t="s">
        <v>251</v>
      </c>
      <c r="B8" s="31" t="n">
        <v>17544</v>
      </c>
      <c r="C8" s="31" t="n">
        <v>16405</v>
      </c>
      <c r="D8" s="31" t="n">
        <v>18700</v>
      </c>
      <c r="E8" s="31" t="n">
        <v>17986</v>
      </c>
      <c r="F8" s="31" t="n">
        <v>19125</v>
      </c>
      <c r="G8" s="31" t="n">
        <v>20264</v>
      </c>
      <c r="H8" s="31" t="n">
        <v>17306</v>
      </c>
      <c r="I8" s="31" t="n">
        <v>15946</v>
      </c>
      <c r="J8" s="31" t="n">
        <v>21403</v>
      </c>
      <c r="K8" s="31" t="n">
        <v>19567</v>
      </c>
      <c r="L8" s="31" t="n">
        <v>18445</v>
      </c>
      <c r="M8" s="31" t="n">
        <v>23681</v>
      </c>
      <c r="N8" s="55" t="n">
        <f aca="false">SUM(B8:M8)</f>
        <v>226372</v>
      </c>
    </row>
    <row r="9" customFormat="false" ht="21.75" hidden="false" customHeight="true" outlineLevel="0" collapsed="false">
      <c r="A9" s="30" t="s">
        <v>252</v>
      </c>
      <c r="B9" s="31" t="n">
        <v>0</v>
      </c>
      <c r="C9" s="31" t="n">
        <v>0</v>
      </c>
      <c r="D9" s="31" t="n">
        <v>0</v>
      </c>
      <c r="E9" s="31" t="n">
        <v>0</v>
      </c>
      <c r="F9" s="31" t="n">
        <v>0</v>
      </c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0</v>
      </c>
      <c r="N9" s="55" t="n">
        <f aca="false">SUM(B9:M9)</f>
        <v>0</v>
      </c>
    </row>
    <row r="10" customFormat="false" ht="24" hidden="false" customHeight="true" outlineLevel="0" collapsed="false">
      <c r="A10" s="9" t="s">
        <v>253</v>
      </c>
      <c r="B10" s="55" t="n">
        <f aca="false">SUM(B6:B9)</f>
        <v>17544</v>
      </c>
      <c r="C10" s="55" t="n">
        <f aca="false">SUM(C6:C9)</f>
        <v>16405</v>
      </c>
      <c r="D10" s="55" t="n">
        <f aca="false">SUM(D6:D9)</f>
        <v>18700</v>
      </c>
      <c r="E10" s="55" t="n">
        <f aca="false">SUM(E6:E9)</f>
        <v>17986</v>
      </c>
      <c r="F10" s="55" t="n">
        <f aca="false">SUM(F6:F9)</f>
        <v>19125</v>
      </c>
      <c r="G10" s="55" t="n">
        <f aca="false">SUM(G6:G9)</f>
        <v>20264</v>
      </c>
      <c r="H10" s="55" t="n">
        <f aca="false">SUM(H6:H9)</f>
        <v>17306</v>
      </c>
      <c r="I10" s="55" t="n">
        <f aca="false">SUM(I6:I9)</f>
        <v>15946</v>
      </c>
      <c r="J10" s="55" t="n">
        <f aca="false">SUM(J6:J9)</f>
        <v>21403</v>
      </c>
      <c r="K10" s="55" t="n">
        <f aca="false">SUM(K6:K9)</f>
        <v>19567</v>
      </c>
      <c r="L10" s="55" t="n">
        <f aca="false">SUM(L6:L9)</f>
        <v>18445</v>
      </c>
      <c r="M10" s="55" t="n">
        <f aca="false">SUM(M6:M9)</f>
        <v>23681</v>
      </c>
    </row>
    <row r="11" customFormat="false" ht="21.75" hidden="false" customHeight="true" outlineLevel="0" collapsed="false">
      <c r="A11" s="8" t="s">
        <v>254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customFormat="false" ht="21.75" hidden="false" customHeight="true" outlineLevel="0" collapsed="false">
      <c r="A12" s="30" t="s">
        <v>255</v>
      </c>
      <c r="B12" s="50" t="s">
        <v>153</v>
      </c>
      <c r="C12" s="50" t="s">
        <v>153</v>
      </c>
      <c r="D12" s="50" t="s">
        <v>153</v>
      </c>
      <c r="E12" s="50" t="s">
        <v>153</v>
      </c>
      <c r="F12" s="50" t="s">
        <v>153</v>
      </c>
      <c r="G12" s="50" t="s">
        <v>153</v>
      </c>
      <c r="H12" s="50" t="s">
        <v>153</v>
      </c>
      <c r="I12" s="50" t="s">
        <v>153</v>
      </c>
      <c r="J12" s="50" t="s">
        <v>153</v>
      </c>
      <c r="K12" s="50" t="s">
        <v>153</v>
      </c>
      <c r="L12" s="50" t="s">
        <v>153</v>
      </c>
      <c r="M12" s="50" t="s">
        <v>153</v>
      </c>
      <c r="N12" s="56" t="n">
        <f aca="false">SUM(B12:M12)</f>
        <v>0</v>
      </c>
    </row>
    <row r="13" customFormat="false" ht="21.75" hidden="false" customHeight="true" outlineLevel="0" collapsed="false">
      <c r="A13" s="30" t="s">
        <v>256</v>
      </c>
      <c r="N13" s="56" t="n">
        <f aca="false">SUM(B13:M13)</f>
        <v>0</v>
      </c>
    </row>
    <row r="14" customFormat="false" ht="21.75" hidden="false" customHeight="true" outlineLevel="0" collapsed="false">
      <c r="A14" s="30" t="s">
        <v>257</v>
      </c>
      <c r="B14" s="31" t="n">
        <v>12384</v>
      </c>
      <c r="C14" s="31" t="n">
        <v>11580</v>
      </c>
      <c r="D14" s="31" t="n">
        <v>13200</v>
      </c>
      <c r="E14" s="31" t="n">
        <v>12696</v>
      </c>
      <c r="F14" s="31" t="n">
        <v>13500</v>
      </c>
      <c r="G14" s="31" t="n">
        <v>14304</v>
      </c>
      <c r="H14" s="31" t="n">
        <v>12216</v>
      </c>
      <c r="I14" s="31" t="n">
        <v>11256</v>
      </c>
      <c r="J14" s="31" t="n">
        <v>15108</v>
      </c>
      <c r="K14" s="31" t="n">
        <v>13812</v>
      </c>
      <c r="L14" s="31" t="n">
        <v>13020</v>
      </c>
      <c r="M14" s="31" t="n">
        <v>16716</v>
      </c>
      <c r="N14" s="56" t="n">
        <f aca="false">SUM(B14:M14)</f>
        <v>159792</v>
      </c>
    </row>
    <row r="15" customFormat="false" ht="21.75" hidden="false" customHeight="true" outlineLevel="0" collapsed="false">
      <c r="A15" s="30" t="s">
        <v>258</v>
      </c>
      <c r="B15" s="31" t="n">
        <v>500</v>
      </c>
      <c r="C15" s="31" t="n">
        <v>500</v>
      </c>
      <c r="D15" s="31" t="n">
        <v>500</v>
      </c>
      <c r="E15" s="31" t="n">
        <v>500</v>
      </c>
      <c r="F15" s="31" t="n">
        <v>500</v>
      </c>
      <c r="G15" s="31" t="n">
        <v>500</v>
      </c>
      <c r="H15" s="31" t="n">
        <v>500</v>
      </c>
      <c r="I15" s="31" t="n">
        <v>500</v>
      </c>
      <c r="J15" s="31" t="n">
        <v>500</v>
      </c>
      <c r="K15" s="31" t="n">
        <v>500</v>
      </c>
      <c r="L15" s="31" t="n">
        <v>500</v>
      </c>
      <c r="M15" s="31" t="n">
        <v>500</v>
      </c>
      <c r="N15" s="56" t="n">
        <f aca="false">SUM(B15:M15)</f>
        <v>6000</v>
      </c>
    </row>
    <row r="16" customFormat="false" ht="21.75" hidden="false" customHeight="true" outlineLevel="0" collapsed="false">
      <c r="A16" s="30" t="s">
        <v>259</v>
      </c>
      <c r="B16" s="31" t="n">
        <v>0</v>
      </c>
      <c r="C16" s="31" t="n">
        <v>0</v>
      </c>
      <c r="D16" s="31" t="n">
        <v>0</v>
      </c>
      <c r="E16" s="31" t="n">
        <v>0</v>
      </c>
      <c r="F16" s="31" t="n">
        <v>0</v>
      </c>
      <c r="G16" s="31" t="n">
        <v>0</v>
      </c>
      <c r="H16" s="31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0</v>
      </c>
      <c r="N16" s="56" t="n">
        <f aca="false">SUM(B16:M16)</f>
        <v>0</v>
      </c>
    </row>
    <row r="17" customFormat="false" ht="21.75" hidden="false" customHeight="true" outlineLevel="0" collapsed="false">
      <c r="A17" s="30" t="s">
        <v>260</v>
      </c>
      <c r="B17" s="31" t="n">
        <v>5800</v>
      </c>
      <c r="C17" s="31" t="n">
        <v>5800</v>
      </c>
      <c r="D17" s="31" t="n">
        <v>5800</v>
      </c>
      <c r="E17" s="31" t="n">
        <v>5800</v>
      </c>
      <c r="F17" s="31" t="n">
        <v>5800</v>
      </c>
      <c r="G17" s="31" t="n">
        <v>5800</v>
      </c>
      <c r="H17" s="31" t="n">
        <v>5800</v>
      </c>
      <c r="I17" s="31" t="n">
        <v>5800</v>
      </c>
      <c r="J17" s="31" t="n">
        <v>5800</v>
      </c>
      <c r="K17" s="31" t="n">
        <v>5800</v>
      </c>
      <c r="L17" s="31" t="n">
        <v>5800</v>
      </c>
      <c r="M17" s="31" t="n">
        <v>5800</v>
      </c>
      <c r="N17" s="56" t="n">
        <f aca="false">SUM(B17:M17)</f>
        <v>69600</v>
      </c>
    </row>
    <row r="18" customFormat="false" ht="21.75" hidden="false" customHeight="true" outlineLevel="0" collapsed="false">
      <c r="A18" s="30" t="s">
        <v>261</v>
      </c>
      <c r="B18" s="31" t="n">
        <v>0</v>
      </c>
      <c r="C18" s="31" t="n">
        <v>0</v>
      </c>
      <c r="D18" s="31" t="n">
        <v>0</v>
      </c>
      <c r="E18" s="31" t="n">
        <v>0</v>
      </c>
      <c r="F18" s="31" t="n">
        <v>0</v>
      </c>
      <c r="G18" s="31" t="n">
        <v>0</v>
      </c>
      <c r="H18" s="31" t="n">
        <v>0</v>
      </c>
      <c r="I18" s="31" t="n">
        <v>0</v>
      </c>
      <c r="J18" s="31" t="n">
        <v>0</v>
      </c>
      <c r="K18" s="31" t="n">
        <v>0</v>
      </c>
      <c r="L18" s="31" t="n">
        <v>0</v>
      </c>
      <c r="M18" s="31" t="n">
        <v>0</v>
      </c>
      <c r="N18" s="56" t="n">
        <f aca="false">SUM(B18:M18)</f>
        <v>0</v>
      </c>
    </row>
    <row r="19" customFormat="false" ht="24" hidden="false" customHeight="true" outlineLevel="0" collapsed="false">
      <c r="A19" s="9" t="s">
        <v>262</v>
      </c>
      <c r="B19" s="56" t="n">
        <f aca="false">SUM(B12:B18)</f>
        <v>18684</v>
      </c>
      <c r="C19" s="56" t="n">
        <f aca="false">SUM(C12:C18)</f>
        <v>17880</v>
      </c>
      <c r="D19" s="56" t="n">
        <f aca="false">SUM(D12:D18)</f>
        <v>19500</v>
      </c>
      <c r="E19" s="56" t="n">
        <f aca="false">SUM(E12:E18)</f>
        <v>18996</v>
      </c>
      <c r="F19" s="56" t="n">
        <f aca="false">SUM(F12:F18)</f>
        <v>19800</v>
      </c>
      <c r="G19" s="56" t="n">
        <f aca="false">SUM(G12:G18)</f>
        <v>20604</v>
      </c>
      <c r="H19" s="56" t="n">
        <f aca="false">SUM(H12:H18)</f>
        <v>18516</v>
      </c>
      <c r="I19" s="56" t="n">
        <f aca="false">SUM(I12:I18)</f>
        <v>17556</v>
      </c>
      <c r="J19" s="56" t="n">
        <f aca="false">SUM(J12:J18)</f>
        <v>21408</v>
      </c>
      <c r="K19" s="56" t="n">
        <f aca="false">SUM(K12:K18)</f>
        <v>20112</v>
      </c>
      <c r="L19" s="56" t="n">
        <f aca="false">SUM(L12:L18)</f>
        <v>19320</v>
      </c>
      <c r="M19" s="56" t="n">
        <f aca="false">SUM(M12:M18)</f>
        <v>23016</v>
      </c>
      <c r="N19" s="56" t="n">
        <f aca="false">SUM(B19:M19)</f>
        <v>235392</v>
      </c>
    </row>
    <row r="20" customFormat="false" ht="25.5" hidden="false" customHeight="true" outlineLevel="0" collapsed="false">
      <c r="A20" s="9" t="s">
        <v>263</v>
      </c>
      <c r="B20" s="57" t="n">
        <f aca="false">B10-B19</f>
        <v>-1140</v>
      </c>
      <c r="C20" s="57" t="n">
        <f aca="false">C10-C19</f>
        <v>-1475</v>
      </c>
      <c r="D20" s="57" t="n">
        <f aca="false">D10-D19</f>
        <v>-800</v>
      </c>
      <c r="E20" s="57" t="n">
        <f aca="false">E10-E19</f>
        <v>-1010</v>
      </c>
      <c r="F20" s="57" t="n">
        <f aca="false">F10-F19</f>
        <v>-675</v>
      </c>
      <c r="G20" s="57" t="n">
        <f aca="false">G10-G19</f>
        <v>-340</v>
      </c>
      <c r="H20" s="57" t="n">
        <f aca="false">H10-H19</f>
        <v>-1210</v>
      </c>
      <c r="I20" s="57" t="n">
        <f aca="false">I10-I19</f>
        <v>-1610</v>
      </c>
      <c r="J20" s="57" t="n">
        <f aca="false">J10-J19</f>
        <v>-5</v>
      </c>
      <c r="K20" s="57" t="n">
        <f aca="false">K10-K19</f>
        <v>-545</v>
      </c>
      <c r="L20" s="57" t="n">
        <f aca="false">L10-L19</f>
        <v>-875</v>
      </c>
      <c r="M20" s="57" t="n">
        <f aca="false">M10-M19</f>
        <v>665</v>
      </c>
    </row>
    <row r="21" customFormat="false" ht="25.5" hidden="false" customHeight="true" outlineLevel="0" collapsed="false">
      <c r="A21" s="9" t="s">
        <v>264</v>
      </c>
      <c r="B21" s="58" t="n">
        <f aca="false">B4+B20</f>
        <v>16860</v>
      </c>
      <c r="C21" s="58" t="n">
        <f aca="false">B4+C20</f>
        <v>16525</v>
      </c>
      <c r="D21" s="58" t="n">
        <f aca="false">C4+D20</f>
        <v>-800</v>
      </c>
      <c r="E21" s="58" t="n">
        <f aca="false">D4+E20</f>
        <v>-1010</v>
      </c>
      <c r="F21" s="58" t="n">
        <f aca="false">E4+F20</f>
        <v>-675</v>
      </c>
      <c r="G21" s="58" t="n">
        <f aca="false">F4+G20</f>
        <v>-340</v>
      </c>
      <c r="H21" s="58" t="n">
        <f aca="false">G4+H20</f>
        <v>-1210</v>
      </c>
      <c r="I21" s="58" t="n">
        <f aca="false">H4+I20</f>
        <v>-1610</v>
      </c>
      <c r="J21" s="58" t="n">
        <f aca="false">I4+J20</f>
        <v>-5</v>
      </c>
      <c r="K21" s="58" t="n">
        <f aca="false">J4+K20</f>
        <v>-545</v>
      </c>
      <c r="L21" s="58" t="n">
        <f aca="false">K4+L20</f>
        <v>-875</v>
      </c>
      <c r="M21" s="58" t="n">
        <f aca="false">L4+M20</f>
        <v>665</v>
      </c>
    </row>
    <row r="22" customFormat="false" ht="15" hidden="false" customHeight="true" outlineLevel="0" collapsed="false">
      <c r="B22" s="47" t="n">
        <f aca="false">B21</f>
        <v>16860</v>
      </c>
    </row>
  </sheetData>
  <mergeCells count="4">
    <mergeCell ref="A1:N1"/>
    <mergeCell ref="A2:N2"/>
    <mergeCell ref="A5:N5"/>
    <mergeCell ref="A11:N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5" min="2" style="1" width="22"/>
  </cols>
  <sheetData>
    <row r="1" customFormat="false" ht="27.75" hidden="false" customHeight="true" outlineLevel="0" collapsed="false">
      <c r="A1" s="14" t="s">
        <v>265</v>
      </c>
      <c r="B1" s="14"/>
      <c r="C1" s="14"/>
      <c r="D1" s="14"/>
      <c r="E1" s="14"/>
    </row>
    <row r="2" customFormat="false" ht="15" hidden="false" customHeight="true" outlineLevel="0" collapsed="false">
      <c r="A2" s="15" t="s">
        <v>266</v>
      </c>
      <c r="B2" s="15"/>
      <c r="C2" s="15"/>
      <c r="D2" s="15"/>
      <c r="E2" s="15"/>
    </row>
    <row r="3" customFormat="false" ht="27.75" hidden="false" customHeight="true" outlineLevel="0" collapsed="false">
      <c r="B3" s="37" t="s">
        <v>267</v>
      </c>
      <c r="C3" s="37" t="s">
        <v>268</v>
      </c>
      <c r="D3" s="37" t="s">
        <v>269</v>
      </c>
      <c r="E3" s="37" t="s">
        <v>270</v>
      </c>
    </row>
    <row r="4" customFormat="false" ht="15" hidden="false" customHeight="true" outlineLevel="0" collapsed="false">
      <c r="A4" s="8" t="s">
        <v>271</v>
      </c>
      <c r="B4" s="8"/>
      <c r="C4" s="8"/>
      <c r="D4" s="8"/>
      <c r="E4" s="8"/>
    </row>
    <row r="5" customFormat="false" ht="21.75" hidden="false" customHeight="true" outlineLevel="0" collapsed="false">
      <c r="A5" s="30" t="s">
        <v>272</v>
      </c>
    </row>
    <row r="6" customFormat="false" ht="21.75" hidden="false" customHeight="true" outlineLevel="0" collapsed="false">
      <c r="A6" s="30" t="s">
        <v>273</v>
      </c>
      <c r="B6" s="31" t="n">
        <v>0</v>
      </c>
      <c r="D6" s="31" t="n">
        <v>0</v>
      </c>
    </row>
    <row r="7" customFormat="false" ht="21.75" hidden="false" customHeight="true" outlineLevel="0" collapsed="false">
      <c r="A7" s="53" t="s">
        <v>274</v>
      </c>
      <c r="B7" s="55" t="n">
        <f aca="false">IFERROR(B5+B6,0)</f>
        <v>0</v>
      </c>
      <c r="C7" s="51" t="n">
        <f aca="false">IFERROR(B7/B7,0)</f>
        <v>0</v>
      </c>
    </row>
    <row r="8" customFormat="false" ht="21.75" hidden="false" customHeight="true" outlineLevel="0" collapsed="false">
      <c r="A8" s="53" t="s">
        <v>275</v>
      </c>
    </row>
    <row r="9" customFormat="false" ht="21.75" hidden="false" customHeight="true" outlineLevel="0" collapsed="false">
      <c r="A9" s="30" t="s">
        <v>276</v>
      </c>
      <c r="B9" s="57" t="n">
        <f aca="false">IFERROR(B19*'💰 Cost Input'!D26,0)</f>
        <v>43584.75</v>
      </c>
    </row>
    <row r="10" customFormat="false" ht="21.75" hidden="false" customHeight="true" outlineLevel="0" collapsed="false">
      <c r="A10" s="30" t="s">
        <v>277</v>
      </c>
      <c r="B10" s="31" t="n">
        <v>0</v>
      </c>
      <c r="C10" s="51" t="n">
        <f aca="false">IFERROR(B10/B7,0)</f>
        <v>0</v>
      </c>
    </row>
    <row r="11" customFormat="false" ht="21.75" hidden="false" customHeight="true" outlineLevel="0" collapsed="false">
      <c r="A11" s="53" t="s">
        <v>278</v>
      </c>
      <c r="B11" s="55" t="n">
        <f aca="false">IFERROR(B7-B9-B10,0)</f>
        <v>-43584.75</v>
      </c>
      <c r="C11" s="51" t="n">
        <f aca="false">IFERROR(B11/B7,0)</f>
        <v>0</v>
      </c>
    </row>
    <row r="12" customFormat="false" ht="21.75" hidden="false" customHeight="true" outlineLevel="0" collapsed="false">
      <c r="A12" s="30" t="s">
        <v>279</v>
      </c>
      <c r="B12" s="59" t="n">
        <f aca="false">IFERROR(B11/B7,0)</f>
        <v>0</v>
      </c>
    </row>
    <row r="13" customFormat="false" ht="15" hidden="false" customHeight="true" outlineLevel="0" collapsed="false">
      <c r="A13" s="8" t="s">
        <v>280</v>
      </c>
      <c r="B13" s="8"/>
      <c r="C13" s="8"/>
      <c r="D13" s="8"/>
      <c r="E13" s="8"/>
    </row>
    <row r="14" customFormat="false" ht="21.75" hidden="false" customHeight="true" outlineLevel="0" collapsed="false">
      <c r="A14" s="30" t="s">
        <v>281</v>
      </c>
      <c r="B14" s="57" t="s">
        <v>153</v>
      </c>
    </row>
    <row r="15" customFormat="false" ht="21.75" hidden="false" customHeight="true" outlineLevel="0" collapsed="false">
      <c r="A15" s="30" t="s">
        <v>282</v>
      </c>
      <c r="B15" s="31" t="n">
        <v>800</v>
      </c>
      <c r="C15" s="51" t="n">
        <f aca="false">IFERROR(B15/B7,0)</f>
        <v>0</v>
      </c>
      <c r="D15" s="31" t="n">
        <v>0</v>
      </c>
      <c r="E15" s="57" t="n">
        <f aca="false">IFERROR(B15-D15,0)</f>
        <v>800</v>
      </c>
    </row>
    <row r="16" customFormat="false" ht="21.75" hidden="false" customHeight="true" outlineLevel="0" collapsed="false">
      <c r="A16" s="30" t="s">
        <v>283</v>
      </c>
      <c r="B16" s="31" t="n">
        <v>0</v>
      </c>
      <c r="C16" s="51" t="n">
        <f aca="false">IFERROR(B16/B7,0)</f>
        <v>0</v>
      </c>
    </row>
    <row r="17" customFormat="false" ht="21.75" hidden="false" customHeight="true" outlineLevel="0" collapsed="false">
      <c r="A17" s="53" t="s">
        <v>284</v>
      </c>
      <c r="B17" s="55" t="n">
        <f aca="false">IFERROR(B14+B15+B16,0)</f>
        <v>0</v>
      </c>
      <c r="C17" s="51" t="n">
        <f aca="false">IFERROR(B17/B7,0)</f>
        <v>0</v>
      </c>
    </row>
    <row r="18" customFormat="false" ht="21.75" hidden="false" customHeight="true" outlineLevel="0" collapsed="false">
      <c r="A18" s="53" t="s">
        <v>285</v>
      </c>
      <c r="B18" s="60" t="n">
        <f aca="false">IFERROR(B11-B17,0)</f>
        <v>-43584.75</v>
      </c>
      <c r="C18" s="51" t="n">
        <f aca="false">IFERROR(B18/B7,0)</f>
        <v>0</v>
      </c>
    </row>
    <row r="19" customFormat="false" ht="21.75" hidden="false" customHeight="true" outlineLevel="0" collapsed="false">
      <c r="A19" s="30" t="s">
        <v>286</v>
      </c>
      <c r="B19" s="31" t="n">
        <v>1761</v>
      </c>
      <c r="C19" s="61" t="s">
        <v>287</v>
      </c>
      <c r="D19" s="61"/>
      <c r="E19" s="61"/>
    </row>
  </sheetData>
  <mergeCells count="5">
    <mergeCell ref="A1:E1"/>
    <mergeCell ref="A2:E2"/>
    <mergeCell ref="A4:E4"/>
    <mergeCell ref="A13:E13"/>
    <mergeCell ref="C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14" min="2" style="1" width="12"/>
    <col collapsed="false" customWidth="true" hidden="false" outlineLevel="0" max="15" min="15" style="1" width="18"/>
  </cols>
  <sheetData>
    <row r="1" customFormat="false" ht="27.75" hidden="false" customHeight="true" outlineLevel="0" collapsed="false">
      <c r="A1" s="14" t="s">
        <v>288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customFormat="false" ht="15" hidden="false" customHeight="true" outlineLevel="0" collapsed="false">
      <c r="A2" s="15" t="s">
        <v>289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customFormat="false" ht="31.5" hidden="false" customHeight="true" outlineLevel="0" collapsed="false">
      <c r="A3" s="22" t="s">
        <v>125</v>
      </c>
      <c r="B3" s="37" t="s">
        <v>234</v>
      </c>
      <c r="C3" s="37" t="s">
        <v>235</v>
      </c>
      <c r="D3" s="37" t="s">
        <v>236</v>
      </c>
      <c r="E3" s="37" t="s">
        <v>237</v>
      </c>
      <c r="F3" s="37" t="s">
        <v>238</v>
      </c>
      <c r="G3" s="37" t="s">
        <v>239</v>
      </c>
      <c r="H3" s="37" t="s">
        <v>240</v>
      </c>
      <c r="I3" s="37" t="s">
        <v>241</v>
      </c>
      <c r="J3" s="37" t="s">
        <v>242</v>
      </c>
      <c r="K3" s="37" t="s">
        <v>243</v>
      </c>
      <c r="L3" s="37" t="s">
        <v>244</v>
      </c>
      <c r="M3" s="37" t="s">
        <v>245</v>
      </c>
      <c r="N3" s="37" t="s">
        <v>290</v>
      </c>
      <c r="O3" s="37" t="s">
        <v>291</v>
      </c>
    </row>
    <row r="4" customFormat="false" ht="19.5" hidden="false" customHeight="true" outlineLevel="0" collapsed="false">
      <c r="A4" s="62" t="str">
        <f aca="false">'📦 Product Input'!A6</f>
        <v>Product 1</v>
      </c>
      <c r="B4" s="63" t="n">
        <f aca="false">IFERROR(ROUND(IF('📦 Product Input'!R6=1,('📦 Product Input'!C6/MAX(1,'📦 Product Input'!S6))*'📦 Product Input'!V6,'📦 Product Input'!V6/12),0),0)</f>
        <v>124</v>
      </c>
      <c r="C4" s="63" t="n">
        <f aca="false">IFERROR(ROUND(IF('📦 Product Input'!R6=1,('📦 Product Input'!D6/MAX(1,'📦 Product Input'!S6))*'📦 Product Input'!V6,'📦 Product Input'!V6/12),0),0)</f>
        <v>115</v>
      </c>
      <c r="D4" s="63" t="n">
        <f aca="false">IFERROR(ROUND(IF('📦 Product Input'!R6=1,('📦 Product Input'!E6/MAX(1,'📦 Product Input'!S6))*'📦 Product Input'!V6,'📦 Product Input'!V6/12),0),0)</f>
        <v>133</v>
      </c>
      <c r="E4" s="63" t="n">
        <f aca="false">IFERROR(ROUND(IF('📦 Product Input'!R6=1,('📦 Product Input'!F6/MAX(1,'📦 Product Input'!S6))*'📦 Product Input'!V6,'📦 Product Input'!V6/12),0),0)</f>
        <v>128</v>
      </c>
      <c r="F4" s="63" t="n">
        <f aca="false">IFERROR(ROUND(IF('📦 Product Input'!R6=1,('📦 Product Input'!G6/MAX(1,'📦 Product Input'!S6))*'📦 Product Input'!V6,'📦 Product Input'!V6/12),0),0)</f>
        <v>144</v>
      </c>
      <c r="G4" s="63" t="n">
        <f aca="false">IFERROR(ROUND(IF('📦 Product Input'!R6=1,('📦 Product Input'!H6/MAX(1,'📦 Product Input'!S6))*'📦 Product Input'!V6,'📦 Product Input'!V6/12),0),0)</f>
        <v>150</v>
      </c>
      <c r="H4" s="63" t="n">
        <f aca="false">IFERROR(ROUND(IF('📦 Product Input'!R6=1,('📦 Product Input'!I6/MAX(1,'📦 Product Input'!S6))*'📦 Product Input'!V6,'📦 Product Input'!V6/12),0),0)</f>
        <v>118</v>
      </c>
      <c r="I4" s="63" t="n">
        <f aca="false">IFERROR(ROUND(IF('📦 Product Input'!R6=1,('📦 Product Input'!J6/MAX(1,'📦 Product Input'!S6))*'📦 Product Input'!V6,'📦 Product Input'!V6/12),0),0)</f>
        <v>107</v>
      </c>
      <c r="J4" s="63" t="n">
        <f aca="false">IFERROR(ROUND(IF('📦 Product Input'!R6=1,('📦 Product Input'!K6/MAX(1,'📦 Product Input'!S6))*'📦 Product Input'!V6,'📦 Product Input'!V6/12),0),0)</f>
        <v>157</v>
      </c>
      <c r="K4" s="63" t="n">
        <f aca="false">IFERROR(ROUND(IF('📦 Product Input'!R6=1,('📦 Product Input'!L6/MAX(1,'📦 Product Input'!S6))*'📦 Product Input'!V6,'📦 Product Input'!V6/12),0),0)</f>
        <v>141</v>
      </c>
      <c r="L4" s="63" t="n">
        <f aca="false">IFERROR(ROUND(IF('📦 Product Input'!R6=1,('📦 Product Input'!M6/MAX(1,'📦 Product Input'!S6))*'📦 Product Input'!V6,'📦 Product Input'!V6/12),0),0)</f>
        <v>137</v>
      </c>
      <c r="M4" s="63" t="n">
        <f aca="false">IFERROR(ROUND(IF('📦 Product Input'!R6=1,('📦 Product Input'!N6/MAX(1,'📦 Product Input'!S6))*'📦 Product Input'!V6,'📦 Product Input'!V6/12),0),0)</f>
        <v>183</v>
      </c>
      <c r="N4" s="64" t="n">
        <f aca="false">SUM(B4:M4)</f>
        <v>1637</v>
      </c>
      <c r="O4" s="64" t="n">
        <f aca="false">'📦 Product Input'!W6</f>
        <v>81833.63</v>
      </c>
    </row>
    <row r="5" customFormat="false" ht="19.5" hidden="false" customHeight="true" outlineLevel="0" collapsed="false">
      <c r="A5" s="62" t="str">
        <f aca="false">'📦 Product Input'!A7</f>
        <v>Product 2</v>
      </c>
      <c r="B5" s="63" t="n">
        <f aca="false">IFERROR(ROUND(IF('📦 Product Input'!R7=1,('📦 Product Input'!C7/MAX(1,'📦 Product Input'!S7))*'📦 Product Input'!V7,'📦 Product Input'!V7/12),0),0)</f>
        <v>92</v>
      </c>
      <c r="C5" s="63" t="n">
        <f aca="false">IFERROR(ROUND(IF('📦 Product Input'!R7=1,('📦 Product Input'!D7/MAX(1,'📦 Product Input'!S7))*'📦 Product Input'!V7,'📦 Product Input'!V7/12),0),0)</f>
        <v>86</v>
      </c>
      <c r="D5" s="63" t="n">
        <f aca="false">IFERROR(ROUND(IF('📦 Product Input'!R7=1,('📦 Product Input'!E7/MAX(1,'📦 Product Input'!S7))*'📦 Product Input'!V7,'📦 Product Input'!V7/12),0),0)</f>
        <v>103</v>
      </c>
      <c r="E5" s="63" t="n">
        <f aca="false">IFERROR(ROUND(IF('📦 Product Input'!R7=1,('📦 Product Input'!F7/MAX(1,'📦 Product Input'!S7))*'📦 Product Input'!V7,'📦 Product Input'!V7/12),0),0)</f>
        <v>96</v>
      </c>
      <c r="F5" s="63" t="n">
        <f aca="false">IFERROR(ROUND(IF('📦 Product Input'!R7=1,('📦 Product Input'!G7/MAX(1,'📦 Product Input'!S7))*'📦 Product Input'!V7,'📦 Product Input'!V7/12),0),0)</f>
        <v>115</v>
      </c>
      <c r="G5" s="63" t="n">
        <f aca="false">IFERROR(ROUND(IF('📦 Product Input'!R7=1,('📦 Product Input'!H7/MAX(1,'📦 Product Input'!S7))*'📦 Product Input'!V7,'📦 Product Input'!V7/12),0),0)</f>
        <v>121</v>
      </c>
      <c r="H5" s="63" t="n">
        <f aca="false">IFERROR(ROUND(IF('📦 Product Input'!R7=1,('📦 Product Input'!I7/MAX(1,'📦 Product Input'!S7))*'📦 Product Input'!V7,'📦 Product Input'!V7/12),0),0)</f>
        <v>95</v>
      </c>
      <c r="I5" s="63" t="n">
        <f aca="false">IFERROR(ROUND(IF('📦 Product Input'!R7=1,('📦 Product Input'!J7/MAX(1,'📦 Product Input'!S7))*'📦 Product Input'!V7,'📦 Product Input'!V7/12),0),0)</f>
        <v>81</v>
      </c>
      <c r="J5" s="63" t="n">
        <f aca="false">IFERROR(ROUND(IF('📦 Product Input'!R7=1,('📦 Product Input'!K7/MAX(1,'📦 Product Input'!S7))*'📦 Product Input'!V7,'📦 Product Input'!V7/12),0),0)</f>
        <v>130</v>
      </c>
      <c r="K5" s="63" t="n">
        <f aca="false">IFERROR(ROUND(IF('📦 Product Input'!R7=1,('📦 Product Input'!L7/MAX(1,'📦 Product Input'!S7))*'📦 Product Input'!V7,'📦 Product Input'!V7/12),0),0)</f>
        <v>115</v>
      </c>
      <c r="L5" s="63" t="n">
        <f aca="false">IFERROR(ROUND(IF('📦 Product Input'!R7=1,('📦 Product Input'!M7/MAX(1,'📦 Product Input'!S7))*'📦 Product Input'!V7,'📦 Product Input'!V7/12),0),0)</f>
        <v>106</v>
      </c>
      <c r="M5" s="63" t="n">
        <f aca="false">IFERROR(ROUND(IF('📦 Product Input'!R7=1,('📦 Product Input'!N7/MAX(1,'📦 Product Input'!S7))*'📦 Product Input'!V7,'📦 Product Input'!V7/12),0),0)</f>
        <v>145</v>
      </c>
      <c r="N5" s="64" t="n">
        <f aca="false">SUM(B5:M5)</f>
        <v>1285</v>
      </c>
      <c r="O5" s="64" t="n">
        <f aca="false">'📦 Product Input'!W7</f>
        <v>115727.14</v>
      </c>
    </row>
    <row r="6" customFormat="false" ht="19.5" hidden="false" customHeight="true" outlineLevel="0" collapsed="false">
      <c r="A6" s="62" t="str">
        <f aca="false">'📦 Product Input'!A8</f>
        <v>Product 3</v>
      </c>
      <c r="B6" s="63" t="n">
        <f aca="false">IFERROR(ROUND(IF('📦 Product Input'!R8=1,('📦 Product Input'!C8/MAX(1,'📦 Product Input'!S8))*'📦 Product Input'!V8,'📦 Product Input'!V8/12),0),0)</f>
        <v>177</v>
      </c>
      <c r="C6" s="63" t="n">
        <f aca="false">IFERROR(ROUND(IF('📦 Product Input'!R8=1,('📦 Product Input'!D8/MAX(1,'📦 Product Input'!S8))*'📦 Product Input'!V8,'📦 Product Input'!V8/12),0),0)</f>
        <v>163</v>
      </c>
      <c r="D6" s="63" t="n">
        <f aca="false">IFERROR(ROUND(IF('📦 Product Input'!R8=1,('📦 Product Input'!E8/MAX(1,'📦 Product Input'!S8))*'📦 Product Input'!V8,'📦 Product Input'!V8/12),0),0)</f>
        <v>189</v>
      </c>
      <c r="E6" s="63" t="n">
        <f aca="false">IFERROR(ROUND(IF('📦 Product Input'!R8=1,('📦 Product Input'!F8/MAX(1,'📦 Product Input'!S8))*'📦 Product Input'!V8,'📦 Product Input'!V8/12),0),0)</f>
        <v>183</v>
      </c>
      <c r="F6" s="63" t="n">
        <f aca="false">IFERROR(ROUND(IF('📦 Product Input'!R8=1,('📦 Product Input'!G8/MAX(1,'📦 Product Input'!S8))*'📦 Product Input'!V8,'📦 Product Input'!V8/12),0),0)</f>
        <v>200</v>
      </c>
      <c r="G6" s="63" t="n">
        <f aca="false">IFERROR(ROUND(IF('📦 Product Input'!R8=1,('📦 Product Input'!H8/MAX(1,'📦 Product Input'!S8))*'📦 Product Input'!V8,'📦 Product Input'!V8/12),0),0)</f>
        <v>212</v>
      </c>
      <c r="H6" s="63" t="n">
        <f aca="false">IFERROR(ROUND(IF('📦 Product Input'!R8=1,('📦 Product Input'!I8/MAX(1,'📦 Product Input'!S8))*'📦 Product Input'!V8,'📦 Product Input'!V8/12),0),0)</f>
        <v>169</v>
      </c>
      <c r="I6" s="63" t="n">
        <f aca="false">IFERROR(ROUND(IF('📦 Product Input'!R8=1,('📦 Product Input'!J8/MAX(1,'📦 Product Input'!S8))*'📦 Product Input'!V8,'📦 Product Input'!V8/12),0),0)</f>
        <v>155</v>
      </c>
      <c r="J6" s="63" t="n">
        <f aca="false">IFERROR(ROUND(IF('📦 Product Input'!R8=1,('📦 Product Input'!K8/MAX(1,'📦 Product Input'!S8))*'📦 Product Input'!V8,'📦 Product Input'!V8/12),0),0)</f>
        <v>220</v>
      </c>
      <c r="K6" s="63" t="n">
        <f aca="false">IFERROR(ROUND(IF('📦 Product Input'!R8=1,('📦 Product Input'!L8/MAX(1,'📦 Product Input'!S8))*'📦 Product Input'!V8,'📦 Product Input'!V8/12),0),0)</f>
        <v>197</v>
      </c>
      <c r="L6" s="63" t="n">
        <f aca="false">IFERROR(ROUND(IF('📦 Product Input'!R8=1,('📦 Product Input'!M8/MAX(1,'📦 Product Input'!S8))*'📦 Product Input'!V8,'📦 Product Input'!V8/12),0),0)</f>
        <v>185</v>
      </c>
      <c r="M6" s="63" t="n">
        <f aca="false">IFERROR(ROUND(IF('📦 Product Input'!R8=1,('📦 Product Input'!N8/MAX(1,'📦 Product Input'!S8))*'📦 Product Input'!V8,'📦 Product Input'!V8/12),0),0)</f>
        <v>240</v>
      </c>
      <c r="N6" s="64" t="n">
        <f aca="false">SUM(B6:M6)</f>
        <v>2290</v>
      </c>
      <c r="O6" s="64" t="n">
        <f aca="false">'📦 Product Input'!W8</f>
        <v>91617.09</v>
      </c>
    </row>
    <row r="7" customFormat="false" ht="19.5" hidden="false" customHeight="true" outlineLevel="0" collapsed="false">
      <c r="A7" s="62" t="str">
        <f aca="false">'📦 Product Input'!A9</f>
        <v>Product 4</v>
      </c>
      <c r="B7" s="63" t="n">
        <f aca="false">IFERROR(ROUND(IF('📦 Product Input'!R9=1,('📦 Product Input'!C9/MAX(1,'📦 Product Input'!S9))*'📦 Product Input'!V9,'📦 Product Input'!V9/12),0),0)</f>
        <v>94</v>
      </c>
      <c r="C7" s="63" t="n">
        <f aca="false">IFERROR(ROUND(IF('📦 Product Input'!R9=1,('📦 Product Input'!D9/MAX(1,'📦 Product Input'!S9))*'📦 Product Input'!V9,'📦 Product Input'!V9/12),0),0)</f>
        <v>89</v>
      </c>
      <c r="D7" s="63" t="n">
        <f aca="false">IFERROR(ROUND(IF('📦 Product Input'!R9=1,('📦 Product Input'!E9/MAX(1,'📦 Product Input'!S9))*'📦 Product Input'!V9,'📦 Product Input'!V9/12),0),0)</f>
        <v>105</v>
      </c>
      <c r="E7" s="63" t="n">
        <f aca="false">IFERROR(ROUND(IF('📦 Product Input'!R9=1,('📦 Product Input'!F9/MAX(1,'📦 Product Input'!S9))*'📦 Product Input'!V9,'📦 Product Input'!V9/12),0),0)</f>
        <v>99</v>
      </c>
      <c r="F7" s="63" t="n">
        <f aca="false">IFERROR(ROUND(IF('📦 Product Input'!R9=1,('📦 Product Input'!G9/MAX(1,'📦 Product Input'!S9))*'📦 Product Input'!V9,'📦 Product Input'!V9/12),0),0)</f>
        <v>115</v>
      </c>
      <c r="G7" s="63" t="n">
        <f aca="false">IFERROR(ROUND(IF('📦 Product Input'!R9=1,('📦 Product Input'!H9/MAX(1,'📦 Product Input'!S9))*'📦 Product Input'!V9,'📦 Product Input'!V9/12),0),0)</f>
        <v>120</v>
      </c>
      <c r="H7" s="63" t="n">
        <f aca="false">IFERROR(ROUND(IF('📦 Product Input'!R9=1,('📦 Product Input'!I9/MAX(1,'📦 Product Input'!S9))*'📦 Product Input'!V9,'📦 Product Input'!V9/12),0),0)</f>
        <v>94</v>
      </c>
      <c r="I7" s="63" t="n">
        <f aca="false">IFERROR(ROUND(IF('📦 Product Input'!R9=1,('📦 Product Input'!J9/MAX(1,'📦 Product Input'!S9))*'📦 Product Input'!V9,'📦 Product Input'!V9/12),0),0)</f>
        <v>81</v>
      </c>
      <c r="J7" s="63" t="n">
        <f aca="false">IFERROR(ROUND(IF('📦 Product Input'!R9=1,('📦 Product Input'!K9/MAX(1,'📦 Product Input'!S9))*'📦 Product Input'!V9,'📦 Product Input'!V9/12),0),0)</f>
        <v>128</v>
      </c>
      <c r="K7" s="63" t="n">
        <f aca="false">IFERROR(ROUND(IF('📦 Product Input'!R9=1,('📦 Product Input'!L9/MAX(1,'📦 Product Input'!S9))*'📦 Product Input'!V9,'📦 Product Input'!V9/12),0),0)</f>
        <v>112</v>
      </c>
      <c r="L7" s="63" t="n">
        <f aca="false">IFERROR(ROUND(IF('📦 Product Input'!R9=1,('📦 Product Input'!M9/MAX(1,'📦 Product Input'!S9))*'📦 Product Input'!V9,'📦 Product Input'!V9/12),0),0)</f>
        <v>105</v>
      </c>
      <c r="M7" s="63" t="n">
        <f aca="false">IFERROR(ROUND(IF('📦 Product Input'!R9=1,('📦 Product Input'!N9/MAX(1,'📦 Product Input'!S9))*'📦 Product Input'!V9,'📦 Product Input'!V9/12),0),0)</f>
        <v>141</v>
      </c>
      <c r="N7" s="64" t="n">
        <f aca="false">SUM(B7:M7)</f>
        <v>1283</v>
      </c>
      <c r="O7" s="64" t="n">
        <f aca="false">'📦 Product Input'!W9</f>
        <v>89797.17</v>
      </c>
    </row>
    <row r="8" customFormat="false" ht="19.5" hidden="false" customHeight="true" outlineLevel="0" collapsed="false">
      <c r="A8" s="62" t="str">
        <f aca="false">'📦 Product Input'!A10</f>
        <v>Product 5</v>
      </c>
      <c r="B8" s="63" t="n">
        <f aca="false">IFERROR(ROUND(IF('📦 Product Input'!R10=1,('📦 Product Input'!C10/MAX(1,'📦 Product Input'!S10))*'📦 Product Input'!V10,'📦 Product Input'!V10/12),0),0)</f>
        <v>181</v>
      </c>
      <c r="C8" s="63" t="n">
        <f aca="false">IFERROR(ROUND(IF('📦 Product Input'!R10=1,('📦 Product Input'!D10/MAX(1,'📦 Product Input'!S10))*'📦 Product Input'!V10,'📦 Product Input'!V10/12),0),0)</f>
        <v>168</v>
      </c>
      <c r="D8" s="63" t="n">
        <f aca="false">IFERROR(ROUND(IF('📦 Product Input'!R10=1,('📦 Product Input'!E10/MAX(1,'📦 Product Input'!S10))*'📦 Product Input'!V10,'📦 Product Input'!V10/12),0),0)</f>
        <v>194</v>
      </c>
      <c r="E8" s="63" t="n">
        <f aca="false">IFERROR(ROUND(IF('📦 Product Input'!R10=1,('📦 Product Input'!F10/MAX(1,'📦 Product Input'!S10))*'📦 Product Input'!V10,'📦 Product Input'!V10/12),0),0)</f>
        <v>188</v>
      </c>
      <c r="F8" s="63" t="n">
        <f aca="false">IFERROR(ROUND(IF('📦 Product Input'!R10=1,('📦 Product Input'!G10/MAX(1,'📦 Product Input'!S10))*'📦 Product Input'!V10,'📦 Product Input'!V10/12),0),0)</f>
        <v>210</v>
      </c>
      <c r="G8" s="63" t="n">
        <f aca="false">IFERROR(ROUND(IF('📦 Product Input'!R10=1,('📦 Product Input'!H10/MAX(1,'📦 Product Input'!S10))*'📦 Product Input'!V10,'📦 Product Input'!V10/12),0),0)</f>
        <v>220</v>
      </c>
      <c r="H8" s="63" t="n">
        <f aca="false">IFERROR(ROUND(IF('📦 Product Input'!R10=1,('📦 Product Input'!I10/MAX(1,'📦 Product Input'!S10))*'📦 Product Input'!V10,'📦 Product Input'!V10/12),0),0)</f>
        <v>179</v>
      </c>
      <c r="I8" s="63" t="n">
        <f aca="false">IFERROR(ROUND(IF('📦 Product Input'!R10=1,('📦 Product Input'!J10/MAX(1,'📦 Product Input'!S10))*'📦 Product Input'!V10,'📦 Product Input'!V10/12),0),0)</f>
        <v>158</v>
      </c>
      <c r="J8" s="63" t="n">
        <f aca="false">IFERROR(ROUND(IF('📦 Product Input'!R10=1,('📦 Product Input'!K10/MAX(1,'📦 Product Input'!S10))*'📦 Product Input'!V10,'📦 Product Input'!V10/12),0),0)</f>
        <v>230</v>
      </c>
      <c r="K8" s="63" t="n">
        <f aca="false">IFERROR(ROUND(IF('📦 Product Input'!R10=1,('📦 Product Input'!L10/MAX(1,'📦 Product Input'!S10))*'📦 Product Input'!V10,'📦 Product Input'!V10/12),0),0)</f>
        <v>205</v>
      </c>
      <c r="L8" s="63" t="n">
        <f aca="false">IFERROR(ROUND(IF('📦 Product Input'!R10=1,('📦 Product Input'!M10/MAX(1,'📦 Product Input'!S10))*'📦 Product Input'!V10,'📦 Product Input'!V10/12),0),0)</f>
        <v>192</v>
      </c>
      <c r="M8" s="63" t="n">
        <f aca="false">IFERROR(ROUND(IF('📦 Product Input'!R10=1,('📦 Product Input'!N10/MAX(1,'📦 Product Input'!S10))*'📦 Product Input'!V10,'📦 Product Input'!V10/12),0),0)</f>
        <v>256</v>
      </c>
      <c r="N8" s="64" t="n">
        <f aca="false">SUM(B8:M8)</f>
        <v>2381</v>
      </c>
      <c r="O8" s="64" t="n">
        <f aca="false">'📦 Product Input'!W10</f>
        <v>71406.19</v>
      </c>
    </row>
    <row r="9" customFormat="false" ht="19.5" hidden="false" customHeight="true" outlineLevel="0" collapsed="false">
      <c r="A9" s="62" t="str">
        <f aca="false">'📦 Product Input'!A11</f>
        <v>Product 6</v>
      </c>
      <c r="B9" s="63" t="n">
        <f aca="false">IFERROR(ROUND(IF('📦 Product Input'!R11=1,('📦 Product Input'!C11/MAX(1,'📦 Product Input'!S11))*'📦 Product Input'!V11,'📦 Product Input'!V11/12),0),0)</f>
        <v>129</v>
      </c>
      <c r="C9" s="63" t="n">
        <f aca="false">IFERROR(ROUND(IF('📦 Product Input'!R11=1,('📦 Product Input'!D11/MAX(1,'📦 Product Input'!S11))*'📦 Product Input'!V11,'📦 Product Input'!V11/12),0),0)</f>
        <v>120</v>
      </c>
      <c r="D9" s="63" t="n">
        <f aca="false">IFERROR(ROUND(IF('📦 Product Input'!R11=1,('📦 Product Input'!E11/MAX(1,'📦 Product Input'!S11))*'📦 Product Input'!V11,'📦 Product Input'!V11/12),0),0)</f>
        <v>139</v>
      </c>
      <c r="E9" s="63" t="n">
        <f aca="false">IFERROR(ROUND(IF('📦 Product Input'!R11=1,('📦 Product Input'!F11/MAX(1,'📦 Product Input'!S11))*'📦 Product Input'!V11,'📦 Product Input'!V11/12),0),0)</f>
        <v>132</v>
      </c>
      <c r="F9" s="63" t="n">
        <f aca="false">IFERROR(ROUND(IF('📦 Product Input'!R11=1,('📦 Product Input'!G11/MAX(1,'📦 Product Input'!S11))*'📦 Product Input'!V11,'📦 Product Input'!V11/12),0),0)</f>
        <v>149</v>
      </c>
      <c r="G9" s="63" t="n">
        <f aca="false">IFERROR(ROUND(IF('📦 Product Input'!R11=1,('📦 Product Input'!H11/MAX(1,'📦 Product Input'!S11))*'📦 Product Input'!V11,'📦 Product Input'!V11/12),0),0)</f>
        <v>158</v>
      </c>
      <c r="H9" s="63" t="n">
        <f aca="false">IFERROR(ROUND(IF('📦 Product Input'!R11=1,('📦 Product Input'!I11/MAX(1,'📦 Product Input'!S11))*'📦 Product Input'!V11,'📦 Product Input'!V11/12),0),0)</f>
        <v>125</v>
      </c>
      <c r="I9" s="63" t="n">
        <f aca="false">IFERROR(ROUND(IF('📦 Product Input'!R11=1,('📦 Product Input'!J11/MAX(1,'📦 Product Input'!S11))*'📦 Product Input'!V11,'📦 Product Input'!V11/12),0),0)</f>
        <v>110</v>
      </c>
      <c r="J9" s="63" t="n">
        <f aca="false">IFERROR(ROUND(IF('📦 Product Input'!R11=1,('📦 Product Input'!K11/MAX(1,'📦 Product Input'!S11))*'📦 Product Input'!V11,'📦 Product Input'!V11/12),0),0)</f>
        <v>164</v>
      </c>
      <c r="K9" s="63" t="n">
        <f aca="false">IFERROR(ROUND(IF('📦 Product Input'!R11=1,('📦 Product Input'!L11/MAX(1,'📦 Product Input'!S11))*'📦 Product Input'!V11,'📦 Product Input'!V11/12),0),0)</f>
        <v>144</v>
      </c>
      <c r="L9" s="63" t="n">
        <f aca="false">IFERROR(ROUND(IF('📦 Product Input'!R11=1,('📦 Product Input'!M11/MAX(1,'📦 Product Input'!S11))*'📦 Product Input'!V11,'📦 Product Input'!V11/12),0),0)</f>
        <v>135</v>
      </c>
      <c r="M9" s="63" t="n">
        <f aca="false">IFERROR(ROUND(IF('📦 Product Input'!R11=1,('📦 Product Input'!N11/MAX(1,'📦 Product Input'!S11))*'📦 Product Input'!V11,'📦 Product Input'!V11/12),0),0)</f>
        <v>179</v>
      </c>
      <c r="N9" s="64" t="n">
        <f aca="false">SUM(B9:M9)</f>
        <v>1684</v>
      </c>
      <c r="O9" s="64" t="n">
        <f aca="false">'📦 Product Input'!W11</f>
        <v>100963.17</v>
      </c>
    </row>
    <row r="10" customFormat="false" ht="19.5" hidden="false" customHeight="true" outlineLevel="0" collapsed="false">
      <c r="A10" s="62" t="str">
        <f aca="false">'📦 Product Input'!A12</f>
        <v>Product 7</v>
      </c>
      <c r="B10" s="63" t="n">
        <f aca="false">IFERROR(ROUND(IF('📦 Product Input'!R12=1,('📦 Product Input'!C12/MAX(1,'📦 Product Input'!S12))*'📦 Product Input'!V12,'📦 Product Input'!V12/12),0),0)</f>
        <v>54</v>
      </c>
      <c r="C10" s="63" t="n">
        <f aca="false">IFERROR(ROUND(IF('📦 Product Input'!R12=1,('📦 Product Input'!D12/MAX(1,'📦 Product Input'!S12))*'📦 Product Input'!V12,'📦 Product Input'!V12/12),0),0)</f>
        <v>47</v>
      </c>
      <c r="D10" s="63" t="n">
        <f aca="false">IFERROR(ROUND(IF('📦 Product Input'!R12=1,('📦 Product Input'!E12/MAX(1,'📦 Product Input'!S12))*'📦 Product Input'!V12,'📦 Product Input'!V12/12),0),0)</f>
        <v>64</v>
      </c>
      <c r="E10" s="63" t="n">
        <f aca="false">IFERROR(ROUND(IF('📦 Product Input'!R12=1,('📦 Product Input'!F12/MAX(1,'📦 Product Input'!S12))*'📦 Product Input'!V12,'📦 Product Input'!V12/12),0),0)</f>
        <v>57</v>
      </c>
      <c r="F10" s="63" t="n">
        <f aca="false">IFERROR(ROUND(IF('📦 Product Input'!R12=1,('📦 Product Input'!G12/MAX(1,'📦 Product Input'!S12))*'📦 Product Input'!V12,'📦 Product Input'!V12/12),0),0)</f>
        <v>70</v>
      </c>
      <c r="G10" s="63" t="n">
        <f aca="false">IFERROR(ROUND(IF('📦 Product Input'!R12=1,('📦 Product Input'!H12/MAX(1,'📦 Product Input'!S12))*'📦 Product Input'!V12,'📦 Product Input'!V12/12),0),0)</f>
        <v>80</v>
      </c>
      <c r="H10" s="63" t="n">
        <f aca="false">IFERROR(ROUND(IF('📦 Product Input'!R12=1,('📦 Product Input'!I12/MAX(1,'📦 Product Input'!S12))*'📦 Product Input'!V12,'📦 Product Input'!V12/12),0),0)</f>
        <v>50</v>
      </c>
      <c r="I10" s="63" t="n">
        <f aca="false">IFERROR(ROUND(IF('📦 Product Input'!R12=1,('📦 Product Input'!J12/MAX(1,'📦 Product Input'!S12))*'📦 Product Input'!V12,'📦 Product Input'!V12/12),0),0)</f>
        <v>42</v>
      </c>
      <c r="J10" s="63" t="n">
        <f aca="false">IFERROR(ROUND(IF('📦 Product Input'!R12=1,('📦 Product Input'!K12/MAX(1,'📦 Product Input'!S12))*'📦 Product Input'!V12,'📦 Product Input'!V12/12),0),0)</f>
        <v>87</v>
      </c>
      <c r="K10" s="63" t="n">
        <f aca="false">IFERROR(ROUND(IF('📦 Product Input'!R12=1,('📦 Product Input'!L12/MAX(1,'📦 Product Input'!S12))*'📦 Product Input'!V12,'📦 Product Input'!V12/12),0),0)</f>
        <v>74</v>
      </c>
      <c r="L10" s="63" t="n">
        <f aca="false">IFERROR(ROUND(IF('📦 Product Input'!R12=1,('📦 Product Input'!M12/MAX(1,'📦 Product Input'!S12))*'📦 Product Input'!V12,'📦 Product Input'!V12/12),0),0)</f>
        <v>67</v>
      </c>
      <c r="M10" s="63" t="n">
        <f aca="false">IFERROR(ROUND(IF('📦 Product Input'!R12=1,('📦 Product Input'!N12/MAX(1,'📦 Product Input'!S12))*'📦 Product Input'!V12,'📦 Product Input'!V12/12),0),0)</f>
        <v>97</v>
      </c>
      <c r="N10" s="64" t="n">
        <f aca="false">SUM(B10:M10)</f>
        <v>789</v>
      </c>
      <c r="O10" s="64" t="n">
        <f aca="false">'📦 Product Input'!W12</f>
        <v>102562.11</v>
      </c>
    </row>
    <row r="11" customFormat="false" ht="19.5" hidden="false" customHeight="true" outlineLevel="0" collapsed="false">
      <c r="A11" s="62" t="str">
        <f aca="false">'📦 Product Input'!A13</f>
        <v>Product 8</v>
      </c>
      <c r="B11" s="63" t="n">
        <f aca="false">IFERROR(ROUND(IF('📦 Product Input'!R13=1,('📦 Product Input'!C13/MAX(1,'📦 Product Input'!S13))*'📦 Product Input'!V13,'📦 Product Input'!V13/12),0),0)</f>
        <v>91</v>
      </c>
      <c r="C11" s="63" t="n">
        <f aca="false">IFERROR(ROUND(IF('📦 Product Input'!R13=1,('📦 Product Input'!D13/MAX(1,'📦 Product Input'!S13))*'📦 Product Input'!V13,'📦 Product Input'!V13/12),0),0)</f>
        <v>85</v>
      </c>
      <c r="D11" s="63" t="n">
        <f aca="false">IFERROR(ROUND(IF('📦 Product Input'!R13=1,('📦 Product Input'!E13/MAX(1,'📦 Product Input'!S13))*'📦 Product Input'!V13,'📦 Product Input'!V13/12),0),0)</f>
        <v>102</v>
      </c>
      <c r="E11" s="63" t="n">
        <f aca="false">IFERROR(ROUND(IF('📦 Product Input'!R13=1,('📦 Product Input'!F13/MAX(1,'📦 Product Input'!S13))*'📦 Product Input'!V13,'📦 Product Input'!V13/12),0),0)</f>
        <v>97</v>
      </c>
      <c r="F11" s="63" t="n">
        <f aca="false">IFERROR(ROUND(IF('📦 Product Input'!R13=1,('📦 Product Input'!G13/MAX(1,'📦 Product Input'!S13))*'📦 Product Input'!V13,'📦 Product Input'!V13/12),0),0)</f>
        <v>110</v>
      </c>
      <c r="G11" s="63" t="n">
        <f aca="false">IFERROR(ROUND(IF('📦 Product Input'!R13=1,('📦 Product Input'!H13/MAX(1,'📦 Product Input'!S13))*'📦 Product Input'!V13,'📦 Product Input'!V13/12),0),0)</f>
        <v>118</v>
      </c>
      <c r="H11" s="63" t="n">
        <f aca="false">IFERROR(ROUND(IF('📦 Product Input'!R13=1,('📦 Product Input'!I13/MAX(1,'📦 Product Input'!S13))*'📦 Product Input'!V13,'📦 Product Input'!V13/12),0),0)</f>
        <v>89</v>
      </c>
      <c r="I11" s="63" t="n">
        <f aca="false">IFERROR(ROUND(IF('📦 Product Input'!R13=1,('📦 Product Input'!J13/MAX(1,'📦 Product Input'!S13))*'📦 Product Input'!V13,'📦 Product Input'!V13/12),0),0)</f>
        <v>76</v>
      </c>
      <c r="J11" s="63" t="n">
        <f aca="false">IFERROR(ROUND(IF('📦 Product Input'!R13=1,('📦 Product Input'!K13/MAX(1,'📦 Product Input'!S13))*'📦 Product Input'!V13,'📦 Product Input'!V13/12),0),0)</f>
        <v>125</v>
      </c>
      <c r="K11" s="63" t="n">
        <f aca="false">IFERROR(ROUND(IF('📦 Product Input'!R13=1,('📦 Product Input'!L13/MAX(1,'📦 Product Input'!S13))*'📦 Product Input'!V13,'📦 Product Input'!V13/12),0),0)</f>
        <v>110</v>
      </c>
      <c r="L11" s="63" t="n">
        <f aca="false">IFERROR(ROUND(IF('📦 Product Input'!R13=1,('📦 Product Input'!M13/MAX(1,'📦 Product Input'!S13))*'📦 Product Input'!V13,'📦 Product Input'!V13/12),0),0)</f>
        <v>102</v>
      </c>
      <c r="M11" s="63" t="n">
        <f aca="false">IFERROR(ROUND(IF('📦 Product Input'!R13=1,('📦 Product Input'!N13/MAX(1,'📦 Product Input'!S13))*'📦 Product Input'!V13,'📦 Product Input'!V13/12),0),0)</f>
        <v>136</v>
      </c>
      <c r="N11" s="64" t="n">
        <f aca="false">SUM(B11:M11)</f>
        <v>1241</v>
      </c>
      <c r="O11" s="64" t="n">
        <f aca="false">'📦 Product Input'!W13</f>
        <v>61987.6</v>
      </c>
    </row>
    <row r="12" customFormat="false" ht="19.5" hidden="false" customHeight="true" outlineLevel="0" collapsed="false">
      <c r="A12" s="62" t="str">
        <f aca="false">'📦 Product Input'!A14</f>
        <v>Product 9</v>
      </c>
      <c r="B12" s="63" t="n">
        <f aca="false">IFERROR(ROUND(IF('📦 Product Input'!R14=1,('📦 Product Input'!C14/MAX(1,'📦 Product Input'!S14))*'📦 Product Input'!V14,'📦 Product Input'!V14/12),0),0)</f>
        <v>74</v>
      </c>
      <c r="C12" s="63" t="n">
        <f aca="false">IFERROR(ROUND(IF('📦 Product Input'!R14=1,('📦 Product Input'!D14/MAX(1,'📦 Product Input'!S14))*'📦 Product Input'!V14,'📦 Product Input'!V14/12),0),0)</f>
        <v>68</v>
      </c>
      <c r="D12" s="63" t="n">
        <f aca="false">IFERROR(ROUND(IF('📦 Product Input'!R14=1,('📦 Product Input'!E14/MAX(1,'📦 Product Input'!S14))*'📦 Product Input'!V14,'📦 Product Input'!V14/12),0),0)</f>
        <v>83</v>
      </c>
      <c r="E12" s="63" t="n">
        <f aca="false">IFERROR(ROUND(IF('📦 Product Input'!R14=1,('📦 Product Input'!F14/MAX(1,'📦 Product Input'!S14))*'📦 Product Input'!V14,'📦 Product Input'!V14/12),0),0)</f>
        <v>77</v>
      </c>
      <c r="F12" s="63" t="n">
        <f aca="false">IFERROR(ROUND(IF('📦 Product Input'!R14=1,('📦 Product Input'!G14/MAX(1,'📦 Product Input'!S14))*'📦 Product Input'!V14,'📦 Product Input'!V14/12),0),0)</f>
        <v>92</v>
      </c>
      <c r="G12" s="63" t="n">
        <f aca="false">IFERROR(ROUND(IF('📦 Product Input'!R14=1,('📦 Product Input'!H14/MAX(1,'📦 Product Input'!S14))*'📦 Product Input'!V14,'📦 Product Input'!V14/12),0),0)</f>
        <v>101</v>
      </c>
      <c r="H12" s="63" t="n">
        <f aca="false">IFERROR(ROUND(IF('📦 Product Input'!R14=1,('📦 Product Input'!I14/MAX(1,'📦 Product Input'!S14))*'📦 Product Input'!V14,'📦 Product Input'!V14/12),0),0)</f>
        <v>71</v>
      </c>
      <c r="I12" s="63" t="n">
        <f aca="false">IFERROR(ROUND(IF('📦 Product Input'!R14=1,('📦 Product Input'!J14/MAX(1,'📦 Product Input'!S14))*'📦 Product Input'!V14,'📦 Product Input'!V14/12),0),0)</f>
        <v>59</v>
      </c>
      <c r="J12" s="63" t="n">
        <f aca="false">IFERROR(ROUND(IF('📦 Product Input'!R14=1,('📦 Product Input'!K14/MAX(1,'📦 Product Input'!S14))*'📦 Product Input'!V14,'📦 Product Input'!V14/12),0),0)</f>
        <v>109</v>
      </c>
      <c r="K12" s="63" t="n">
        <f aca="false">IFERROR(ROUND(IF('📦 Product Input'!R14=1,('📦 Product Input'!L14/MAX(1,'📦 Product Input'!S14))*'📦 Product Input'!V14,'📦 Product Input'!V14/12),0),0)</f>
        <v>92</v>
      </c>
      <c r="L12" s="63" t="n">
        <f aca="false">IFERROR(ROUND(IF('📦 Product Input'!R14=1,('📦 Product Input'!M14/MAX(1,'📦 Product Input'!S14))*'📦 Product Input'!V14,'📦 Product Input'!V14/12),0),0)</f>
        <v>86</v>
      </c>
      <c r="M12" s="63" t="n">
        <f aca="false">IFERROR(ROUND(IF('📦 Product Input'!R14=1,('📦 Product Input'!N14/MAX(1,'📦 Product Input'!S14))*'📦 Product Input'!V14,'📦 Product Input'!V14/12),0),0)</f>
        <v>115</v>
      </c>
      <c r="N12" s="64" t="n">
        <f aca="false">SUM(B12:M12)</f>
        <v>1027</v>
      </c>
      <c r="O12" s="64" t="n">
        <f aca="false">'📦 Product Input'!W14</f>
        <v>82069.74</v>
      </c>
    </row>
    <row r="13" customFormat="false" ht="19.5" hidden="false" customHeight="true" outlineLevel="0" collapsed="false">
      <c r="A13" s="62" t="str">
        <f aca="false">'📦 Product Input'!A15</f>
        <v>Product 10</v>
      </c>
      <c r="B13" s="63" t="n">
        <f aca="false">IFERROR(ROUND(IF('📦 Product Input'!R15=1,('📦 Product Input'!C15/MAX(1,'📦 Product Input'!S15))*'📦 Product Input'!V15,'📦 Product Input'!V15/12),0),0)</f>
        <v>62</v>
      </c>
      <c r="C13" s="63" t="n">
        <f aca="false">IFERROR(ROUND(IF('📦 Product Input'!R15=1,('📦 Product Input'!D15/MAX(1,'📦 Product Input'!S15))*'📦 Product Input'!V15,'📦 Product Input'!V15/12),0),0)</f>
        <v>56</v>
      </c>
      <c r="D13" s="63" t="n">
        <f aca="false">IFERROR(ROUND(IF('📦 Product Input'!R15=1,('📦 Product Input'!E15/MAX(1,'📦 Product Input'!S15))*'📦 Product Input'!V15,'📦 Product Input'!V15/12),0),0)</f>
        <v>70</v>
      </c>
      <c r="E13" s="63" t="n">
        <f aca="false">IFERROR(ROUND(IF('📦 Product Input'!R15=1,('📦 Product Input'!F15/MAX(1,'📦 Product Input'!S15))*'📦 Product Input'!V15,'📦 Product Input'!V15/12),0),0)</f>
        <v>64</v>
      </c>
      <c r="F13" s="63" t="n">
        <f aca="false">IFERROR(ROUND(IF('📦 Product Input'!R15=1,('📦 Product Input'!G15/MAX(1,'📦 Product Input'!S15))*'📦 Product Input'!V15,'📦 Product Input'!V15/12),0),0)</f>
        <v>76</v>
      </c>
      <c r="G13" s="63" t="n">
        <f aca="false">IFERROR(ROUND(IF('📦 Product Input'!R15=1,('📦 Product Input'!H15/MAX(1,'📦 Product Input'!S15))*'📦 Product Input'!V15,'📦 Product Input'!V15/12),0),0)</f>
        <v>85</v>
      </c>
      <c r="H13" s="63" t="n">
        <f aca="false">IFERROR(ROUND(IF('📦 Product Input'!R15=1,('📦 Product Input'!I15/MAX(1,'📦 Product Input'!S15))*'📦 Product Input'!V15,'📦 Product Input'!V15/12),0),0)</f>
        <v>59</v>
      </c>
      <c r="I13" s="63" t="n">
        <f aca="false">IFERROR(ROUND(IF('📦 Product Input'!R15=1,('📦 Product Input'!J15/MAX(1,'📦 Product Input'!S15))*'📦 Product Input'!V15,'📦 Product Input'!V15/12),0),0)</f>
        <v>50</v>
      </c>
      <c r="J13" s="63" t="n">
        <f aca="false">IFERROR(ROUND(IF('📦 Product Input'!R15=1,('📦 Product Input'!K15/MAX(1,'📦 Product Input'!S15))*'📦 Product Input'!V15,'📦 Product Input'!V15/12),0),0)</f>
        <v>94</v>
      </c>
      <c r="K13" s="63" t="n">
        <f aca="false">IFERROR(ROUND(IF('📦 Product Input'!R15=1,('📦 Product Input'!L15/MAX(1,'📦 Product Input'!S15))*'📦 Product Input'!V15,'📦 Product Input'!V15/12),0),0)</f>
        <v>79</v>
      </c>
      <c r="L13" s="63" t="n">
        <f aca="false">IFERROR(ROUND(IF('📦 Product Input'!R15=1,('📦 Product Input'!M15/MAX(1,'📦 Product Input'!S15))*'📦 Product Input'!V15,'📦 Product Input'!V15/12),0),0)</f>
        <v>73</v>
      </c>
      <c r="M13" s="63" t="n">
        <f aca="false">IFERROR(ROUND(IF('📦 Product Input'!R15=1,('📦 Product Input'!N15/MAX(1,'📦 Product Input'!S15))*'📦 Product Input'!V15,'📦 Product Input'!V15/12),0),0)</f>
        <v>100</v>
      </c>
      <c r="N13" s="64" t="n">
        <f aca="false">SUM(B13:M13)</f>
        <v>868</v>
      </c>
      <c r="O13" s="64" t="n">
        <f aca="false">'📦 Product Input'!W15</f>
        <v>86691.33</v>
      </c>
    </row>
    <row r="14" customFormat="false" ht="19.5" hidden="false" customHeight="true" outlineLevel="0" collapsed="false">
      <c r="A14" s="62" t="str">
        <f aca="false">'📦 Product Input'!A16</f>
        <v>Product 11</v>
      </c>
      <c r="B14" s="63" t="n">
        <f aca="false">IFERROR(ROUND(IF('📦 Product Input'!R16=1,('📦 Product Input'!C16/MAX(1,'📦 Product Input'!S16))*'📦 Product Input'!V16,'📦 Product Input'!V16/12),0),0)</f>
        <v>125</v>
      </c>
      <c r="C14" s="63" t="n">
        <f aca="false">IFERROR(ROUND(IF('📦 Product Input'!R16=1,('📦 Product Input'!D16/MAX(1,'📦 Product Input'!S16))*'📦 Product Input'!V16,'📦 Product Input'!V16/12),0),0)</f>
        <v>113</v>
      </c>
      <c r="D14" s="63" t="n">
        <f aca="false">IFERROR(ROUND(IF('📦 Product Input'!R16=1,('📦 Product Input'!E16/MAX(1,'📦 Product Input'!S16))*'📦 Product Input'!V16,'📦 Product Input'!V16/12),0),0)</f>
        <v>136</v>
      </c>
      <c r="E14" s="63" t="n">
        <f aca="false">IFERROR(ROUND(IF('📦 Product Input'!R16=1,('📦 Product Input'!F16/MAX(1,'📦 Product Input'!S16))*'📦 Product Input'!V16,'📦 Product Input'!V16/12),0),0)</f>
        <v>129</v>
      </c>
      <c r="F14" s="63" t="n">
        <f aca="false">IFERROR(ROUND(IF('📦 Product Input'!R16=1,('📦 Product Input'!G16/MAX(1,'📦 Product Input'!S16))*'📦 Product Input'!V16,'📦 Product Input'!V16/12),0),0)</f>
        <v>144</v>
      </c>
      <c r="G14" s="63" t="n">
        <f aca="false">IFERROR(ROUND(IF('📦 Product Input'!R16=1,('📦 Product Input'!H16/MAX(1,'📦 Product Input'!S16))*'📦 Product Input'!V16,'📦 Product Input'!V16/12),0),0)</f>
        <v>152</v>
      </c>
      <c r="H14" s="63" t="n">
        <f aca="false">IFERROR(ROUND(IF('📦 Product Input'!R16=1,('📦 Product Input'!I16/MAX(1,'📦 Product Input'!S16))*'📦 Product Input'!V16,'📦 Product Input'!V16/12),0),0)</f>
        <v>121</v>
      </c>
      <c r="I14" s="63" t="n">
        <f aca="false">IFERROR(ROUND(IF('📦 Product Input'!R16=1,('📦 Product Input'!J16/MAX(1,'📦 Product Input'!S16))*'📦 Product Input'!V16,'📦 Product Input'!V16/12),0),0)</f>
        <v>106</v>
      </c>
      <c r="J14" s="63" t="n">
        <f aca="false">IFERROR(ROUND(IF('📦 Product Input'!R16=1,('📦 Product Input'!K16/MAX(1,'📦 Product Input'!S16))*'📦 Product Input'!V16,'📦 Product Input'!V16/12),0),0)</f>
        <v>159</v>
      </c>
      <c r="K14" s="63" t="n">
        <f aca="false">IFERROR(ROUND(IF('📦 Product Input'!R16=1,('📦 Product Input'!L16/MAX(1,'📦 Product Input'!S16))*'📦 Product Input'!V16,'📦 Product Input'!V16/12),0),0)</f>
        <v>141</v>
      </c>
      <c r="L14" s="63" t="n">
        <f aca="false">IFERROR(ROUND(IF('📦 Product Input'!R16=1,('📦 Product Input'!M16/MAX(1,'📦 Product Input'!S16))*'📦 Product Input'!V16,'📦 Product Input'!V16/12),0),0)</f>
        <v>133</v>
      </c>
      <c r="M14" s="63" t="n">
        <f aca="false">IFERROR(ROUND(IF('📦 Product Input'!R16=1,('📦 Product Input'!N16/MAX(1,'📦 Product Input'!S16))*'📦 Product Input'!V16,'📦 Product Input'!V16/12),0),0)</f>
        <v>176</v>
      </c>
      <c r="N14" s="64" t="n">
        <f aca="false">SUM(B14:M14)</f>
        <v>1635</v>
      </c>
      <c r="O14" s="64" t="n">
        <f aca="false">'📦 Product Input'!W16</f>
        <v>57278.63</v>
      </c>
    </row>
    <row r="15" customFormat="false" ht="19.5" hidden="false" customHeight="true" outlineLevel="0" collapsed="false">
      <c r="A15" s="62" t="str">
        <f aca="false">'📦 Product Input'!A17</f>
        <v>Product 12</v>
      </c>
      <c r="B15" s="63" t="n">
        <f aca="false">IFERROR(ROUND(IF('📦 Product Input'!R17=1,('📦 Product Input'!C17/MAX(1,'📦 Product Input'!S17))*'📦 Product Input'!V17,'📦 Product Input'!V17/12),0),0)</f>
        <v>81</v>
      </c>
      <c r="C15" s="63" t="n">
        <f aca="false">IFERROR(ROUND(IF('📦 Product Input'!R17=1,('📦 Product Input'!D17/MAX(1,'📦 Product Input'!S17))*'📦 Product Input'!V17,'📦 Product Input'!V17/12),0),0)</f>
        <v>74</v>
      </c>
      <c r="D15" s="63" t="n">
        <f aca="false">IFERROR(ROUND(IF('📦 Product Input'!R17=1,('📦 Product Input'!E17/MAX(1,'📦 Product Input'!S17))*'📦 Product Input'!V17,'📦 Product Input'!V17/12),0),0)</f>
        <v>92</v>
      </c>
      <c r="E15" s="63" t="n">
        <f aca="false">IFERROR(ROUND(IF('📦 Product Input'!R17=1,('📦 Product Input'!F17/MAX(1,'📦 Product Input'!S17))*'📦 Product Input'!V17,'📦 Product Input'!V17/12),0),0)</f>
        <v>86</v>
      </c>
      <c r="F15" s="63" t="n">
        <f aca="false">IFERROR(ROUND(IF('📦 Product Input'!R17=1,('📦 Product Input'!G17/MAX(1,'📦 Product Input'!S17))*'📦 Product Input'!V17,'📦 Product Input'!V17/12),0),0)</f>
        <v>101</v>
      </c>
      <c r="G15" s="63" t="n">
        <f aca="false">IFERROR(ROUND(IF('📦 Product Input'!R17=1,('📦 Product Input'!H17/MAX(1,'📦 Product Input'!S17))*'📦 Product Input'!V17,'📦 Product Input'!V17/12),0),0)</f>
        <v>111</v>
      </c>
      <c r="H15" s="63" t="n">
        <f aca="false">IFERROR(ROUND(IF('📦 Product Input'!R17=1,('📦 Product Input'!I17/MAX(1,'📦 Product Input'!S17))*'📦 Product Input'!V17,'📦 Product Input'!V17/12),0),0)</f>
        <v>77</v>
      </c>
      <c r="I15" s="63" t="n">
        <f aca="false">IFERROR(ROUND(IF('📦 Product Input'!R17=1,('📦 Product Input'!J17/MAX(1,'📦 Product Input'!S17))*'📦 Product Input'!V17,'📦 Product Input'!V17/12),0),0)</f>
        <v>65</v>
      </c>
      <c r="J15" s="63" t="n">
        <f aca="false">IFERROR(ROUND(IF('📦 Product Input'!R17=1,('📦 Product Input'!K17/MAX(1,'📦 Product Input'!S17))*'📦 Product Input'!V17,'📦 Product Input'!V17/12),0),0)</f>
        <v>118</v>
      </c>
      <c r="K15" s="63" t="n">
        <f aca="false">IFERROR(ROUND(IF('📦 Product Input'!R17=1,('📦 Product Input'!L17/MAX(1,'📦 Product Input'!S17))*'📦 Product Input'!V17,'📦 Product Input'!V17/12),0),0)</f>
        <v>103</v>
      </c>
      <c r="L15" s="63" t="n">
        <f aca="false">IFERROR(ROUND(IF('📦 Product Input'!R17=1,('📦 Product Input'!M17/MAX(1,'📦 Product Input'!S17))*'📦 Product Input'!V17,'📦 Product Input'!V17/12),0),0)</f>
        <v>96</v>
      </c>
      <c r="M15" s="63" t="n">
        <f aca="false">IFERROR(ROUND(IF('📦 Product Input'!R17=1,('📦 Product Input'!N17/MAX(1,'📦 Product Input'!S17))*'📦 Product Input'!V17,'📦 Product Input'!V17/12),0),0)</f>
        <v>130</v>
      </c>
      <c r="N15" s="64" t="n">
        <f aca="false">SUM(B15:M15)</f>
        <v>1134</v>
      </c>
      <c r="O15" s="64" t="n">
        <f aca="false">'📦 Product Input'!W17</f>
        <v>90708.66</v>
      </c>
    </row>
    <row r="16" customFormat="false" ht="19.5" hidden="false" customHeight="true" outlineLevel="0" collapsed="false">
      <c r="A16" s="62" t="str">
        <f aca="false">'📦 Product Input'!A18</f>
        <v>Product 13</v>
      </c>
      <c r="B16" s="63" t="n">
        <f aca="false">IFERROR(ROUND(IF('📦 Product Input'!R18=1,('📦 Product Input'!C18/MAX(1,'📦 Product Input'!S18))*'📦 Product Input'!V18,'📦 Product Input'!V18/12),0),0)</f>
        <v>92</v>
      </c>
      <c r="C16" s="63" t="n">
        <f aca="false">IFERROR(ROUND(IF('📦 Product Input'!R18=1,('📦 Product Input'!D18/MAX(1,'📦 Product Input'!S18))*'📦 Product Input'!V18,'📦 Product Input'!V18/12),0),0)</f>
        <v>86</v>
      </c>
      <c r="D16" s="63" t="n">
        <f aca="false">IFERROR(ROUND(IF('📦 Product Input'!R18=1,('📦 Product Input'!E18/MAX(1,'📦 Product Input'!S18))*'📦 Product Input'!V18,'📦 Product Input'!V18/12),0),0)</f>
        <v>102</v>
      </c>
      <c r="E16" s="63" t="n">
        <f aca="false">IFERROR(ROUND(IF('📦 Product Input'!R18=1,('📦 Product Input'!F18/MAX(1,'📦 Product Input'!S18))*'📦 Product Input'!V18,'📦 Product Input'!V18/12),0),0)</f>
        <v>97</v>
      </c>
      <c r="F16" s="63" t="n">
        <f aca="false">IFERROR(ROUND(IF('📦 Product Input'!R18=1,('📦 Product Input'!G18/MAX(1,'📦 Product Input'!S18))*'📦 Product Input'!V18,'📦 Product Input'!V18/12),0),0)</f>
        <v>110</v>
      </c>
      <c r="G16" s="63" t="n">
        <f aca="false">IFERROR(ROUND(IF('📦 Product Input'!R18=1,('📦 Product Input'!H18/MAX(1,'📦 Product Input'!S18))*'📦 Product Input'!V18,'📦 Product Input'!V18/12),0),0)</f>
        <v>118</v>
      </c>
      <c r="H16" s="63" t="n">
        <f aca="false">IFERROR(ROUND(IF('📦 Product Input'!R18=1,('📦 Product Input'!I18/MAX(1,'📦 Product Input'!S18))*'📦 Product Input'!V18,'📦 Product Input'!V18/12),0),0)</f>
        <v>90</v>
      </c>
      <c r="I16" s="63" t="n">
        <f aca="false">IFERROR(ROUND(IF('📦 Product Input'!R18=1,('📦 Product Input'!J18/MAX(1,'📦 Product Input'!S18))*'📦 Product Input'!V18,'📦 Product Input'!V18/12),0),0)</f>
        <v>79</v>
      </c>
      <c r="J16" s="63" t="n">
        <f aca="false">IFERROR(ROUND(IF('📦 Product Input'!R18=1,('📦 Product Input'!K18/MAX(1,'📦 Product Input'!S18))*'📦 Product Input'!V18,'📦 Product Input'!V18/12),0),0)</f>
        <v>125</v>
      </c>
      <c r="K16" s="63" t="n">
        <f aca="false">IFERROR(ROUND(IF('📦 Product Input'!R18=1,('📦 Product Input'!L18/MAX(1,'📦 Product Input'!S18))*'📦 Product Input'!V18,'📦 Product Input'!V18/12),0),0)</f>
        <v>109</v>
      </c>
      <c r="L16" s="63" t="n">
        <f aca="false">IFERROR(ROUND(IF('📦 Product Input'!R18=1,('📦 Product Input'!M18/MAX(1,'📦 Product Input'!S18))*'📦 Product Input'!V18,'📦 Product Input'!V18/12),0),0)</f>
        <v>102</v>
      </c>
      <c r="M16" s="63" t="n">
        <f aca="false">IFERROR(ROUND(IF('📦 Product Input'!R18=1,('📦 Product Input'!N18/MAX(1,'📦 Product Input'!S18))*'📦 Product Input'!V18,'📦 Product Input'!V18/12),0),0)</f>
        <v>136</v>
      </c>
      <c r="N16" s="64" t="n">
        <f aca="false">SUM(B16:M16)</f>
        <v>1246</v>
      </c>
      <c r="O16" s="64" t="n">
        <f aca="false">'📦 Product Input'!W18</f>
        <v>43562.55</v>
      </c>
    </row>
    <row r="17" customFormat="false" ht="19.5" hidden="false" customHeight="true" outlineLevel="0" collapsed="false">
      <c r="A17" s="62" t="str">
        <f aca="false">'📦 Product Input'!A19</f>
        <v>Product 14</v>
      </c>
      <c r="B17" s="63" t="n">
        <f aca="false">IFERROR(ROUND(IF('📦 Product Input'!R19=1,('📦 Product Input'!C19/MAX(1,'📦 Product Input'!S19))*'📦 Product Input'!V19,'📦 Product Input'!V19/12),0),0)</f>
        <v>158</v>
      </c>
      <c r="C17" s="63" t="n">
        <f aca="false">IFERROR(ROUND(IF('📦 Product Input'!R19=1,('📦 Product Input'!D19/MAX(1,'📦 Product Input'!S19))*'📦 Product Input'!V19,'📦 Product Input'!V19/12),0),0)</f>
        <v>145</v>
      </c>
      <c r="D17" s="63" t="n">
        <f aca="false">IFERROR(ROUND(IF('📦 Product Input'!R19=1,('📦 Product Input'!E19/MAX(1,'📦 Product Input'!S19))*'📦 Product Input'!V19,'📦 Product Input'!V19/12),0),0)</f>
        <v>171</v>
      </c>
      <c r="E17" s="63" t="n">
        <f aca="false">IFERROR(ROUND(IF('📦 Product Input'!R19=1,('📦 Product Input'!F19/MAX(1,'📦 Product Input'!S19))*'📦 Product Input'!V19,'📦 Product Input'!V19/12),0),0)</f>
        <v>164</v>
      </c>
      <c r="F17" s="63" t="n">
        <f aca="false">IFERROR(ROUND(IF('📦 Product Input'!R19=1,('📦 Product Input'!G19/MAX(1,'📦 Product Input'!S19))*'📦 Product Input'!V19,'📦 Product Input'!V19/12),0),0)</f>
        <v>182</v>
      </c>
      <c r="G17" s="63" t="n">
        <f aca="false">IFERROR(ROUND(IF('📦 Product Input'!R19=1,('📦 Product Input'!H19/MAX(1,'📦 Product Input'!S19))*'📦 Product Input'!V19,'📦 Product Input'!V19/12),0),0)</f>
        <v>195</v>
      </c>
      <c r="H17" s="63" t="n">
        <f aca="false">IFERROR(ROUND(IF('📦 Product Input'!R19=1,('📦 Product Input'!I19/MAX(1,'📦 Product Input'!S19))*'📦 Product Input'!V19,'📦 Product Input'!V19/12),0),0)</f>
        <v>153</v>
      </c>
      <c r="I17" s="63" t="n">
        <f aca="false">IFERROR(ROUND(IF('📦 Product Input'!R19=1,('📦 Product Input'!J19/MAX(1,'📦 Product Input'!S19))*'📦 Product Input'!V19,'📦 Product Input'!V19/12),0),0)</f>
        <v>135</v>
      </c>
      <c r="J17" s="63" t="n">
        <f aca="false">IFERROR(ROUND(IF('📦 Product Input'!R19=1,('📦 Product Input'!K19/MAX(1,'📦 Product Input'!S19))*'📦 Product Input'!V19,'📦 Product Input'!V19/12),0),0)</f>
        <v>204</v>
      </c>
      <c r="K17" s="63" t="n">
        <f aca="false">IFERROR(ROUND(IF('📦 Product Input'!R19=1,('📦 Product Input'!L19/MAX(1,'📦 Product Input'!S19))*'📦 Product Input'!V19,'📦 Product Input'!V19/12),0),0)</f>
        <v>182</v>
      </c>
      <c r="L17" s="63" t="n">
        <f aca="false">IFERROR(ROUND(IF('📦 Product Input'!R19=1,('📦 Product Input'!M19/MAX(1,'📦 Product Input'!S19))*'📦 Product Input'!V19,'📦 Product Input'!V19/12),0),0)</f>
        <v>169</v>
      </c>
      <c r="M17" s="63" t="n">
        <f aca="false">IFERROR(ROUND(IF('📦 Product Input'!R19=1,('📦 Product Input'!N19/MAX(1,'📦 Product Input'!S19))*'📦 Product Input'!V19,'📦 Product Input'!V19/12),0),0)</f>
        <v>222</v>
      </c>
      <c r="N17" s="64" t="n">
        <f aca="false">SUM(B17:M17)</f>
        <v>2080</v>
      </c>
      <c r="O17" s="64" t="n">
        <f aca="false">'📦 Product Input'!W19</f>
        <v>51979.2</v>
      </c>
    </row>
    <row r="18" customFormat="false" ht="19.5" hidden="false" customHeight="true" outlineLevel="0" collapsed="false">
      <c r="A18" s="62" t="str">
        <f aca="false">'📦 Product Input'!A20</f>
        <v>Product 15</v>
      </c>
      <c r="B18" s="63" t="n">
        <f aca="false">IFERROR(ROUND(IF('📦 Product Input'!R20=1,('📦 Product Input'!C20/MAX(1,'📦 Product Input'!S20))*'📦 Product Input'!V20,'📦 Product Input'!V20/12),0),0)</f>
        <v>35</v>
      </c>
      <c r="C18" s="63" t="n">
        <f aca="false">IFERROR(ROUND(IF('📦 Product Input'!R20=1,('📦 Product Input'!D20/MAX(1,'📦 Product Input'!S20))*'📦 Product Input'!V20,'📦 Product Input'!V20/12),0),0)</f>
        <v>29</v>
      </c>
      <c r="D18" s="63" t="n">
        <f aca="false">IFERROR(ROUND(IF('📦 Product Input'!R20=1,('📦 Product Input'!E20/MAX(1,'📦 Product Input'!S20))*'📦 Product Input'!V20,'📦 Product Input'!V20/12),0),0)</f>
        <v>43</v>
      </c>
      <c r="E18" s="63" t="n">
        <f aca="false">IFERROR(ROUND(IF('📦 Product Input'!R20=1,('📦 Product Input'!F20/MAX(1,'📦 Product Input'!S20))*'📦 Product Input'!V20,'📦 Product Input'!V20/12),0),0)</f>
        <v>39</v>
      </c>
      <c r="F18" s="63" t="n">
        <f aca="false">IFERROR(ROUND(IF('📦 Product Input'!R20=1,('📦 Product Input'!G20/MAX(1,'📦 Product Input'!S20))*'📦 Product Input'!V20,'📦 Product Input'!V20/12),0),0)</f>
        <v>50</v>
      </c>
      <c r="G18" s="63" t="n">
        <f aca="false">IFERROR(ROUND(IF('📦 Product Input'!R20=1,('📦 Product Input'!H20/MAX(1,'📦 Product Input'!S20))*'📦 Product Input'!V20,'📦 Product Input'!V20/12),0),0)</f>
        <v>58</v>
      </c>
      <c r="H18" s="63" t="n">
        <f aca="false">IFERROR(ROUND(IF('📦 Product Input'!R20=1,('📦 Product Input'!I20/MAX(1,'📦 Product Input'!S20))*'📦 Product Input'!V20,'📦 Product Input'!V20/12),0),0)</f>
        <v>31</v>
      </c>
      <c r="I18" s="63" t="n">
        <f aca="false">IFERROR(ROUND(IF('📦 Product Input'!R20=1,('📦 Product Input'!J20/MAX(1,'📦 Product Input'!S20))*'📦 Product Input'!V20,'📦 Product Input'!V20/12),0),0)</f>
        <v>23</v>
      </c>
      <c r="J18" s="63" t="n">
        <f aca="false">IFERROR(ROUND(IF('📦 Product Input'!R20=1,('📦 Product Input'!K20/MAX(1,'📦 Product Input'!S20))*'📦 Product Input'!V20,'📦 Product Input'!V20/12),0),0)</f>
        <v>66</v>
      </c>
      <c r="K18" s="63" t="n">
        <f aca="false">IFERROR(ROUND(IF('📦 Product Input'!R20=1,('📦 Product Input'!L20/MAX(1,'📦 Product Input'!S20))*'📦 Product Input'!V20,'📦 Product Input'!V20/12),0),0)</f>
        <v>54</v>
      </c>
      <c r="L18" s="63" t="n">
        <f aca="false">IFERROR(ROUND(IF('📦 Product Input'!R20=1,('📦 Product Input'!M20/MAX(1,'📦 Product Input'!S20))*'📦 Product Input'!V20,'📦 Product Input'!V20/12),0),0)</f>
        <v>46</v>
      </c>
      <c r="M18" s="63" t="n">
        <f aca="false">IFERROR(ROUND(IF('📦 Product Input'!R20=1,('📦 Product Input'!N20/MAX(1,'📦 Product Input'!S20))*'📦 Product Input'!V20,'📦 Product Input'!V20/12),0),0)</f>
        <v>77</v>
      </c>
      <c r="N18" s="64" t="n">
        <f aca="false">SUM(B18:M18)</f>
        <v>551</v>
      </c>
      <c r="O18" s="64" t="n">
        <f aca="false">'📦 Product Input'!W20</f>
        <v>110194.49</v>
      </c>
    </row>
    <row r="19" customFormat="false" ht="19.5" hidden="false" customHeight="true" outlineLevel="0" collapsed="false">
      <c r="A19" s="62" t="str">
        <f aca="false">'📦 Product Input'!A21</f>
        <v>Product 16</v>
      </c>
      <c r="B19" s="63" t="n">
        <f aca="false">IFERROR(ROUND(IF('📦 Product Input'!R21=1,('📦 Product Input'!C21/MAX(1,'📦 Product Input'!S21))*'📦 Product Input'!V21,'📦 Product Input'!V21/12),0),0)</f>
        <v>101</v>
      </c>
      <c r="C19" s="63" t="n">
        <f aca="false">IFERROR(ROUND(IF('📦 Product Input'!R21=1,('📦 Product Input'!D21/MAX(1,'📦 Product Input'!S21))*'📦 Product Input'!V21,'📦 Product Input'!V21/12),0),0)</f>
        <v>101</v>
      </c>
      <c r="D19" s="63" t="n">
        <f aca="false">IFERROR(ROUND(IF('📦 Product Input'!R21=1,('📦 Product Input'!E21/MAX(1,'📦 Product Input'!S21))*'📦 Product Input'!V21,'📦 Product Input'!V21/12),0),0)</f>
        <v>101</v>
      </c>
      <c r="E19" s="63" t="n">
        <f aca="false">IFERROR(ROUND(IF('📦 Product Input'!R21=1,('📦 Product Input'!F21/MAX(1,'📦 Product Input'!S21))*'📦 Product Input'!V21,'📦 Product Input'!V21/12),0),0)</f>
        <v>101</v>
      </c>
      <c r="F19" s="63" t="n">
        <f aca="false">IFERROR(ROUND(IF('📦 Product Input'!R21=1,('📦 Product Input'!G21/MAX(1,'📦 Product Input'!S21))*'📦 Product Input'!V21,'📦 Product Input'!V21/12),0),0)</f>
        <v>101</v>
      </c>
      <c r="G19" s="63" t="n">
        <f aca="false">IFERROR(ROUND(IF('📦 Product Input'!R21=1,('📦 Product Input'!H21/MAX(1,'📦 Product Input'!S21))*'📦 Product Input'!V21,'📦 Product Input'!V21/12),0),0)</f>
        <v>101</v>
      </c>
      <c r="H19" s="63" t="n">
        <f aca="false">IFERROR(ROUND(IF('📦 Product Input'!R21=1,('📦 Product Input'!I21/MAX(1,'📦 Product Input'!S21))*'📦 Product Input'!V21,'📦 Product Input'!V21/12),0),0)</f>
        <v>101</v>
      </c>
      <c r="I19" s="63" t="n">
        <f aca="false">IFERROR(ROUND(IF('📦 Product Input'!R21=1,('📦 Product Input'!J21/MAX(1,'📦 Product Input'!S21))*'📦 Product Input'!V21,'📦 Product Input'!V21/12),0),0)</f>
        <v>101</v>
      </c>
      <c r="J19" s="63" t="n">
        <f aca="false">IFERROR(ROUND(IF('📦 Product Input'!R21=1,('📦 Product Input'!K21/MAX(1,'📦 Product Input'!S21))*'📦 Product Input'!V21,'📦 Product Input'!V21/12),0),0)</f>
        <v>101</v>
      </c>
      <c r="K19" s="63" t="n">
        <f aca="false">IFERROR(ROUND(IF('📦 Product Input'!R21=1,('📦 Product Input'!L21/MAX(1,'📦 Product Input'!S21))*'📦 Product Input'!V21,'📦 Product Input'!V21/12),0),0)</f>
        <v>101</v>
      </c>
      <c r="L19" s="63" t="n">
        <f aca="false">IFERROR(ROUND(IF('📦 Product Input'!R21=1,('📦 Product Input'!M21/MAX(1,'📦 Product Input'!S21))*'📦 Product Input'!V21,'📦 Product Input'!V21/12),0),0)</f>
        <v>101</v>
      </c>
      <c r="M19" s="63" t="n">
        <f aca="false">IFERROR(ROUND(IF('📦 Product Input'!R21=1,('📦 Product Input'!N21/MAX(1,'📦 Product Input'!S21))*'📦 Product Input'!V21,'📦 Product Input'!V21/12),0),0)</f>
        <v>101</v>
      </c>
      <c r="N19" s="64" t="n">
        <f aca="false">SUM(B19:M19)</f>
        <v>1212</v>
      </c>
      <c r="O19" s="64" t="n">
        <f aca="false">'📦 Product Input'!W21</f>
        <v>0</v>
      </c>
    </row>
    <row r="20" customFormat="false" ht="19.5" hidden="false" customHeight="true" outlineLevel="0" collapsed="false">
      <c r="A20" s="62" t="str">
        <f aca="false">'📦 Product Input'!A22</f>
        <v>Product 17</v>
      </c>
      <c r="B20" s="63" t="n">
        <f aca="false">IFERROR(ROUND(IF('📦 Product Input'!R22=1,('📦 Product Input'!C22/MAX(1,'📦 Product Input'!S22))*'📦 Product Input'!V22,'📦 Product Input'!V22/12),0),0)</f>
        <v>101</v>
      </c>
      <c r="C20" s="63" t="n">
        <f aca="false">IFERROR(ROUND(IF('📦 Product Input'!R22=1,('📦 Product Input'!D22/MAX(1,'📦 Product Input'!S22))*'📦 Product Input'!V22,'📦 Product Input'!V22/12),0),0)</f>
        <v>101</v>
      </c>
      <c r="D20" s="63" t="n">
        <f aca="false">IFERROR(ROUND(IF('📦 Product Input'!R22=1,('📦 Product Input'!E22/MAX(1,'📦 Product Input'!S22))*'📦 Product Input'!V22,'📦 Product Input'!V22/12),0),0)</f>
        <v>101</v>
      </c>
      <c r="E20" s="63" t="n">
        <f aca="false">IFERROR(ROUND(IF('📦 Product Input'!R22=1,('📦 Product Input'!F22/MAX(1,'📦 Product Input'!S22))*'📦 Product Input'!V22,'📦 Product Input'!V22/12),0),0)</f>
        <v>101</v>
      </c>
      <c r="F20" s="63" t="n">
        <f aca="false">IFERROR(ROUND(IF('📦 Product Input'!R22=1,('📦 Product Input'!G22/MAX(1,'📦 Product Input'!S22))*'📦 Product Input'!V22,'📦 Product Input'!V22/12),0),0)</f>
        <v>101</v>
      </c>
      <c r="G20" s="63" t="n">
        <f aca="false">IFERROR(ROUND(IF('📦 Product Input'!R22=1,('📦 Product Input'!H22/MAX(1,'📦 Product Input'!S22))*'📦 Product Input'!V22,'📦 Product Input'!V22/12),0),0)</f>
        <v>101</v>
      </c>
      <c r="H20" s="63" t="n">
        <f aca="false">IFERROR(ROUND(IF('📦 Product Input'!R22=1,('📦 Product Input'!I22/MAX(1,'📦 Product Input'!S22))*'📦 Product Input'!V22,'📦 Product Input'!V22/12),0),0)</f>
        <v>101</v>
      </c>
      <c r="I20" s="63" t="n">
        <f aca="false">IFERROR(ROUND(IF('📦 Product Input'!R22=1,('📦 Product Input'!J22/MAX(1,'📦 Product Input'!S22))*'📦 Product Input'!V22,'📦 Product Input'!V22/12),0),0)</f>
        <v>101</v>
      </c>
      <c r="J20" s="63" t="n">
        <f aca="false">IFERROR(ROUND(IF('📦 Product Input'!R22=1,('📦 Product Input'!K22/MAX(1,'📦 Product Input'!S22))*'📦 Product Input'!V22,'📦 Product Input'!V22/12),0),0)</f>
        <v>101</v>
      </c>
      <c r="K20" s="63" t="n">
        <f aca="false">IFERROR(ROUND(IF('📦 Product Input'!R22=1,('📦 Product Input'!L22/MAX(1,'📦 Product Input'!S22))*'📦 Product Input'!V22,'📦 Product Input'!V22/12),0),0)</f>
        <v>101</v>
      </c>
      <c r="L20" s="63" t="n">
        <f aca="false">IFERROR(ROUND(IF('📦 Product Input'!R22=1,('📦 Product Input'!M22/MAX(1,'📦 Product Input'!S22))*'📦 Product Input'!V22,'📦 Product Input'!V22/12),0),0)</f>
        <v>101</v>
      </c>
      <c r="M20" s="63" t="n">
        <f aca="false">IFERROR(ROUND(IF('📦 Product Input'!R22=1,('📦 Product Input'!N22/MAX(1,'📦 Product Input'!S22))*'📦 Product Input'!V22,'📦 Product Input'!V22/12),0),0)</f>
        <v>101</v>
      </c>
      <c r="N20" s="64" t="n">
        <f aca="false">SUM(B20:M20)</f>
        <v>1212</v>
      </c>
      <c r="O20" s="64" t="n">
        <f aca="false">'📦 Product Input'!W22</f>
        <v>0</v>
      </c>
    </row>
    <row r="21" customFormat="false" ht="19.5" hidden="false" customHeight="true" outlineLevel="0" collapsed="false">
      <c r="A21" s="62" t="str">
        <f aca="false">'📦 Product Input'!A23</f>
        <v>Product 18</v>
      </c>
      <c r="B21" s="63" t="n">
        <f aca="false">IFERROR(ROUND(IF('📦 Product Input'!R23=1,('📦 Product Input'!C23/MAX(1,'📦 Product Input'!S23))*'📦 Product Input'!V23,'📦 Product Input'!V23/12),0),0)</f>
        <v>101</v>
      </c>
      <c r="C21" s="63" t="n">
        <f aca="false">IFERROR(ROUND(IF('📦 Product Input'!R23=1,('📦 Product Input'!D23/MAX(1,'📦 Product Input'!S23))*'📦 Product Input'!V23,'📦 Product Input'!V23/12),0),0)</f>
        <v>101</v>
      </c>
      <c r="D21" s="63" t="n">
        <f aca="false">IFERROR(ROUND(IF('📦 Product Input'!R23=1,('📦 Product Input'!E23/MAX(1,'📦 Product Input'!S23))*'📦 Product Input'!V23,'📦 Product Input'!V23/12),0),0)</f>
        <v>101</v>
      </c>
      <c r="E21" s="63" t="n">
        <f aca="false">IFERROR(ROUND(IF('📦 Product Input'!R23=1,('📦 Product Input'!F23/MAX(1,'📦 Product Input'!S23))*'📦 Product Input'!V23,'📦 Product Input'!V23/12),0),0)</f>
        <v>101</v>
      </c>
      <c r="F21" s="63" t="n">
        <f aca="false">IFERROR(ROUND(IF('📦 Product Input'!R23=1,('📦 Product Input'!G23/MAX(1,'📦 Product Input'!S23))*'📦 Product Input'!V23,'📦 Product Input'!V23/12),0),0)</f>
        <v>101</v>
      </c>
      <c r="G21" s="63" t="n">
        <f aca="false">IFERROR(ROUND(IF('📦 Product Input'!R23=1,('📦 Product Input'!H23/MAX(1,'📦 Product Input'!S23))*'📦 Product Input'!V23,'📦 Product Input'!V23/12),0),0)</f>
        <v>101</v>
      </c>
      <c r="H21" s="63" t="n">
        <f aca="false">IFERROR(ROUND(IF('📦 Product Input'!R23=1,('📦 Product Input'!I23/MAX(1,'📦 Product Input'!S23))*'📦 Product Input'!V23,'📦 Product Input'!V23/12),0),0)</f>
        <v>101</v>
      </c>
      <c r="I21" s="63" t="n">
        <f aca="false">IFERROR(ROUND(IF('📦 Product Input'!R23=1,('📦 Product Input'!J23/MAX(1,'📦 Product Input'!S23))*'📦 Product Input'!V23,'📦 Product Input'!V23/12),0),0)</f>
        <v>101</v>
      </c>
      <c r="J21" s="63" t="n">
        <f aca="false">IFERROR(ROUND(IF('📦 Product Input'!R23=1,('📦 Product Input'!K23/MAX(1,'📦 Product Input'!S23))*'📦 Product Input'!V23,'📦 Product Input'!V23/12),0),0)</f>
        <v>101</v>
      </c>
      <c r="K21" s="63" t="n">
        <f aca="false">IFERROR(ROUND(IF('📦 Product Input'!R23=1,('📦 Product Input'!L23/MAX(1,'📦 Product Input'!S23))*'📦 Product Input'!V23,'📦 Product Input'!V23/12),0),0)</f>
        <v>101</v>
      </c>
      <c r="L21" s="63" t="n">
        <f aca="false">IFERROR(ROUND(IF('📦 Product Input'!R23=1,('📦 Product Input'!M23/MAX(1,'📦 Product Input'!S23))*'📦 Product Input'!V23,'📦 Product Input'!V23/12),0),0)</f>
        <v>101</v>
      </c>
      <c r="M21" s="63" t="n">
        <f aca="false">IFERROR(ROUND(IF('📦 Product Input'!R23=1,('📦 Product Input'!N23/MAX(1,'📦 Product Input'!S23))*'📦 Product Input'!V23,'📦 Product Input'!V23/12),0),0)</f>
        <v>101</v>
      </c>
      <c r="N21" s="64" t="n">
        <f aca="false">SUM(B21:M21)</f>
        <v>1212</v>
      </c>
      <c r="O21" s="64" t="n">
        <f aca="false">'📦 Product Input'!W23</f>
        <v>0</v>
      </c>
    </row>
    <row r="22" customFormat="false" ht="19.5" hidden="false" customHeight="true" outlineLevel="0" collapsed="false">
      <c r="A22" s="62" t="str">
        <f aca="false">'📦 Product Input'!A24</f>
        <v>Product 19</v>
      </c>
      <c r="B22" s="63" t="n">
        <f aca="false">IFERROR(ROUND(IF('📦 Product Input'!R24=1,('📦 Product Input'!C24/MAX(1,'📦 Product Input'!S24))*'📦 Product Input'!V24,'📦 Product Input'!V24/12),0),0)</f>
        <v>101</v>
      </c>
      <c r="C22" s="63" t="n">
        <f aca="false">IFERROR(ROUND(IF('📦 Product Input'!R24=1,('📦 Product Input'!D24/MAX(1,'📦 Product Input'!S24))*'📦 Product Input'!V24,'📦 Product Input'!V24/12),0),0)</f>
        <v>101</v>
      </c>
      <c r="D22" s="63" t="n">
        <f aca="false">IFERROR(ROUND(IF('📦 Product Input'!R24=1,('📦 Product Input'!E24/MAX(1,'📦 Product Input'!S24))*'📦 Product Input'!V24,'📦 Product Input'!V24/12),0),0)</f>
        <v>101</v>
      </c>
      <c r="E22" s="63" t="n">
        <f aca="false">IFERROR(ROUND(IF('📦 Product Input'!R24=1,('📦 Product Input'!F24/MAX(1,'📦 Product Input'!S24))*'📦 Product Input'!V24,'📦 Product Input'!V24/12),0),0)</f>
        <v>101</v>
      </c>
      <c r="F22" s="63" t="n">
        <f aca="false">IFERROR(ROUND(IF('📦 Product Input'!R24=1,('📦 Product Input'!G24/MAX(1,'📦 Product Input'!S24))*'📦 Product Input'!V24,'📦 Product Input'!V24/12),0),0)</f>
        <v>101</v>
      </c>
      <c r="G22" s="63" t="n">
        <f aca="false">IFERROR(ROUND(IF('📦 Product Input'!R24=1,('📦 Product Input'!H24/MAX(1,'📦 Product Input'!S24))*'📦 Product Input'!V24,'📦 Product Input'!V24/12),0),0)</f>
        <v>101</v>
      </c>
      <c r="H22" s="63" t="n">
        <f aca="false">IFERROR(ROUND(IF('📦 Product Input'!R24=1,('📦 Product Input'!I24/MAX(1,'📦 Product Input'!S24))*'📦 Product Input'!V24,'📦 Product Input'!V24/12),0),0)</f>
        <v>101</v>
      </c>
      <c r="I22" s="63" t="n">
        <f aca="false">IFERROR(ROUND(IF('📦 Product Input'!R24=1,('📦 Product Input'!J24/MAX(1,'📦 Product Input'!S24))*'📦 Product Input'!V24,'📦 Product Input'!V24/12),0),0)</f>
        <v>101</v>
      </c>
      <c r="J22" s="63" t="n">
        <f aca="false">IFERROR(ROUND(IF('📦 Product Input'!R24=1,('📦 Product Input'!K24/MAX(1,'📦 Product Input'!S24))*'📦 Product Input'!V24,'📦 Product Input'!V24/12),0),0)</f>
        <v>101</v>
      </c>
      <c r="K22" s="63" t="n">
        <f aca="false">IFERROR(ROUND(IF('📦 Product Input'!R24=1,('📦 Product Input'!L24/MAX(1,'📦 Product Input'!S24))*'📦 Product Input'!V24,'📦 Product Input'!V24/12),0),0)</f>
        <v>101</v>
      </c>
      <c r="L22" s="63" t="n">
        <f aca="false">IFERROR(ROUND(IF('📦 Product Input'!R24=1,('📦 Product Input'!M24/MAX(1,'📦 Product Input'!S24))*'📦 Product Input'!V24,'📦 Product Input'!V24/12),0),0)</f>
        <v>101</v>
      </c>
      <c r="M22" s="63" t="n">
        <f aca="false">IFERROR(ROUND(IF('📦 Product Input'!R24=1,('📦 Product Input'!N24/MAX(1,'📦 Product Input'!S24))*'📦 Product Input'!V24,'📦 Product Input'!V24/12),0),0)</f>
        <v>101</v>
      </c>
      <c r="N22" s="64" t="n">
        <f aca="false">SUM(B22:M22)</f>
        <v>1212</v>
      </c>
      <c r="O22" s="64" t="n">
        <f aca="false">'📦 Product Input'!W24</f>
        <v>0</v>
      </c>
    </row>
    <row r="23" customFormat="false" ht="19.5" hidden="false" customHeight="true" outlineLevel="0" collapsed="false">
      <c r="A23" s="62" t="str">
        <f aca="false">'📦 Product Input'!A25</f>
        <v>Product 20</v>
      </c>
      <c r="B23" s="63" t="n">
        <f aca="false">IFERROR(ROUND(IF('📦 Product Input'!R25=1,('📦 Product Input'!C25/MAX(1,'📦 Product Input'!S25))*'📦 Product Input'!V25,'📦 Product Input'!V25/12),0),0)</f>
        <v>101</v>
      </c>
      <c r="C23" s="63" t="n">
        <f aca="false">IFERROR(ROUND(IF('📦 Product Input'!R25=1,('📦 Product Input'!D25/MAX(1,'📦 Product Input'!S25))*'📦 Product Input'!V25,'📦 Product Input'!V25/12),0),0)</f>
        <v>101</v>
      </c>
      <c r="D23" s="63" t="n">
        <f aca="false">IFERROR(ROUND(IF('📦 Product Input'!R25=1,('📦 Product Input'!E25/MAX(1,'📦 Product Input'!S25))*'📦 Product Input'!V25,'📦 Product Input'!V25/12),0),0)</f>
        <v>101</v>
      </c>
      <c r="E23" s="63" t="n">
        <f aca="false">IFERROR(ROUND(IF('📦 Product Input'!R25=1,('📦 Product Input'!F25/MAX(1,'📦 Product Input'!S25))*'📦 Product Input'!V25,'📦 Product Input'!V25/12),0),0)</f>
        <v>101</v>
      </c>
      <c r="F23" s="63" t="n">
        <f aca="false">IFERROR(ROUND(IF('📦 Product Input'!R25=1,('📦 Product Input'!G25/MAX(1,'📦 Product Input'!S25))*'📦 Product Input'!V25,'📦 Product Input'!V25/12),0),0)</f>
        <v>101</v>
      </c>
      <c r="G23" s="63" t="n">
        <f aca="false">IFERROR(ROUND(IF('📦 Product Input'!R25=1,('📦 Product Input'!H25/MAX(1,'📦 Product Input'!S25))*'📦 Product Input'!V25,'📦 Product Input'!V25/12),0),0)</f>
        <v>101</v>
      </c>
      <c r="H23" s="63" t="n">
        <f aca="false">IFERROR(ROUND(IF('📦 Product Input'!R25=1,('📦 Product Input'!I25/MAX(1,'📦 Product Input'!S25))*'📦 Product Input'!V25,'📦 Product Input'!V25/12),0),0)</f>
        <v>101</v>
      </c>
      <c r="I23" s="63" t="n">
        <f aca="false">IFERROR(ROUND(IF('📦 Product Input'!R25=1,('📦 Product Input'!J25/MAX(1,'📦 Product Input'!S25))*'📦 Product Input'!V25,'📦 Product Input'!V25/12),0),0)</f>
        <v>101</v>
      </c>
      <c r="J23" s="63" t="n">
        <f aca="false">IFERROR(ROUND(IF('📦 Product Input'!R25=1,('📦 Product Input'!K25/MAX(1,'📦 Product Input'!S25))*'📦 Product Input'!V25,'📦 Product Input'!V25/12),0),0)</f>
        <v>101</v>
      </c>
      <c r="K23" s="63" t="n">
        <f aca="false">IFERROR(ROUND(IF('📦 Product Input'!R25=1,('📦 Product Input'!L25/MAX(1,'📦 Product Input'!S25))*'📦 Product Input'!V25,'📦 Product Input'!V25/12),0),0)</f>
        <v>101</v>
      </c>
      <c r="L23" s="63" t="n">
        <f aca="false">IFERROR(ROUND(IF('📦 Product Input'!R25=1,('📦 Product Input'!M25/MAX(1,'📦 Product Input'!S25))*'📦 Product Input'!V25,'📦 Product Input'!V25/12),0),0)</f>
        <v>101</v>
      </c>
      <c r="M23" s="63" t="n">
        <f aca="false">IFERROR(ROUND(IF('📦 Product Input'!R25=1,('📦 Product Input'!N25/MAX(1,'📦 Product Input'!S25))*'📦 Product Input'!V25,'📦 Product Input'!V25/12),0),0)</f>
        <v>101</v>
      </c>
      <c r="N23" s="64" t="n">
        <f aca="false">SUM(B23:M23)</f>
        <v>1212</v>
      </c>
      <c r="O23" s="64" t="n">
        <f aca="false">'📦 Product Input'!W25</f>
        <v>0</v>
      </c>
    </row>
    <row r="24" customFormat="false" ht="19.5" hidden="false" customHeight="true" outlineLevel="0" collapsed="false">
      <c r="A24" s="62" t="str">
        <f aca="false">'📦 Product Input'!A26</f>
        <v>Product 21</v>
      </c>
      <c r="B24" s="63" t="n">
        <f aca="false">IFERROR(ROUND(IF('📦 Product Input'!R26=1,('📦 Product Input'!C26/MAX(1,'📦 Product Input'!S26))*'📦 Product Input'!V26,'📦 Product Input'!V26/12),0),0)</f>
        <v>101</v>
      </c>
      <c r="C24" s="63" t="n">
        <f aca="false">IFERROR(ROUND(IF('📦 Product Input'!R26=1,('📦 Product Input'!D26/MAX(1,'📦 Product Input'!S26))*'📦 Product Input'!V26,'📦 Product Input'!V26/12),0),0)</f>
        <v>101</v>
      </c>
      <c r="D24" s="63" t="n">
        <f aca="false">IFERROR(ROUND(IF('📦 Product Input'!R26=1,('📦 Product Input'!E26/MAX(1,'📦 Product Input'!S26))*'📦 Product Input'!V26,'📦 Product Input'!V26/12),0),0)</f>
        <v>101</v>
      </c>
      <c r="E24" s="63" t="n">
        <f aca="false">IFERROR(ROUND(IF('📦 Product Input'!R26=1,('📦 Product Input'!F26/MAX(1,'📦 Product Input'!S26))*'📦 Product Input'!V26,'📦 Product Input'!V26/12),0),0)</f>
        <v>101</v>
      </c>
      <c r="F24" s="63" t="n">
        <f aca="false">IFERROR(ROUND(IF('📦 Product Input'!R26=1,('📦 Product Input'!G26/MAX(1,'📦 Product Input'!S26))*'📦 Product Input'!V26,'📦 Product Input'!V26/12),0),0)</f>
        <v>101</v>
      </c>
      <c r="G24" s="63" t="n">
        <f aca="false">IFERROR(ROUND(IF('📦 Product Input'!R26=1,('📦 Product Input'!H26/MAX(1,'📦 Product Input'!S26))*'📦 Product Input'!V26,'📦 Product Input'!V26/12),0),0)</f>
        <v>101</v>
      </c>
      <c r="H24" s="63" t="n">
        <f aca="false">IFERROR(ROUND(IF('📦 Product Input'!R26=1,('📦 Product Input'!I26/MAX(1,'📦 Product Input'!S26))*'📦 Product Input'!V26,'📦 Product Input'!V26/12),0),0)</f>
        <v>101</v>
      </c>
      <c r="I24" s="63" t="n">
        <f aca="false">IFERROR(ROUND(IF('📦 Product Input'!R26=1,('📦 Product Input'!J26/MAX(1,'📦 Product Input'!S26))*'📦 Product Input'!V26,'📦 Product Input'!V26/12),0),0)</f>
        <v>101</v>
      </c>
      <c r="J24" s="63" t="n">
        <f aca="false">IFERROR(ROUND(IF('📦 Product Input'!R26=1,('📦 Product Input'!K26/MAX(1,'📦 Product Input'!S26))*'📦 Product Input'!V26,'📦 Product Input'!V26/12),0),0)</f>
        <v>101</v>
      </c>
      <c r="K24" s="63" t="n">
        <f aca="false">IFERROR(ROUND(IF('📦 Product Input'!R26=1,('📦 Product Input'!L26/MAX(1,'📦 Product Input'!S26))*'📦 Product Input'!V26,'📦 Product Input'!V26/12),0),0)</f>
        <v>101</v>
      </c>
      <c r="L24" s="63" t="n">
        <f aca="false">IFERROR(ROUND(IF('📦 Product Input'!R26=1,('📦 Product Input'!M26/MAX(1,'📦 Product Input'!S26))*'📦 Product Input'!V26,'📦 Product Input'!V26/12),0),0)</f>
        <v>101</v>
      </c>
      <c r="M24" s="63" t="n">
        <f aca="false">IFERROR(ROUND(IF('📦 Product Input'!R26=1,('📦 Product Input'!N26/MAX(1,'📦 Product Input'!S26))*'📦 Product Input'!V26,'📦 Product Input'!V26/12),0),0)</f>
        <v>101</v>
      </c>
      <c r="N24" s="64" t="n">
        <f aca="false">SUM(B24:M24)</f>
        <v>1212</v>
      </c>
      <c r="O24" s="64" t="n">
        <f aca="false">'📦 Product Input'!W26</f>
        <v>0</v>
      </c>
    </row>
    <row r="25" customFormat="false" ht="19.5" hidden="false" customHeight="true" outlineLevel="0" collapsed="false">
      <c r="A25" s="62" t="str">
        <f aca="false">'📦 Product Input'!A27</f>
        <v>Product 22</v>
      </c>
      <c r="B25" s="63" t="n">
        <f aca="false">IFERROR(ROUND(IF('📦 Product Input'!R27=1,('📦 Product Input'!C27/MAX(1,'📦 Product Input'!S27))*'📦 Product Input'!V27,'📦 Product Input'!V27/12),0),0)</f>
        <v>101</v>
      </c>
      <c r="C25" s="63" t="n">
        <f aca="false">IFERROR(ROUND(IF('📦 Product Input'!R27=1,('📦 Product Input'!D27/MAX(1,'📦 Product Input'!S27))*'📦 Product Input'!V27,'📦 Product Input'!V27/12),0),0)</f>
        <v>101</v>
      </c>
      <c r="D25" s="63" t="n">
        <f aca="false">IFERROR(ROUND(IF('📦 Product Input'!R27=1,('📦 Product Input'!E27/MAX(1,'📦 Product Input'!S27))*'📦 Product Input'!V27,'📦 Product Input'!V27/12),0),0)</f>
        <v>101</v>
      </c>
      <c r="E25" s="63" t="n">
        <f aca="false">IFERROR(ROUND(IF('📦 Product Input'!R27=1,('📦 Product Input'!F27/MAX(1,'📦 Product Input'!S27))*'📦 Product Input'!V27,'📦 Product Input'!V27/12),0),0)</f>
        <v>101</v>
      </c>
      <c r="F25" s="63" t="n">
        <f aca="false">IFERROR(ROUND(IF('📦 Product Input'!R27=1,('📦 Product Input'!G27/MAX(1,'📦 Product Input'!S27))*'📦 Product Input'!V27,'📦 Product Input'!V27/12),0),0)</f>
        <v>101</v>
      </c>
      <c r="G25" s="63" t="n">
        <f aca="false">IFERROR(ROUND(IF('📦 Product Input'!R27=1,('📦 Product Input'!H27/MAX(1,'📦 Product Input'!S27))*'📦 Product Input'!V27,'📦 Product Input'!V27/12),0),0)</f>
        <v>101</v>
      </c>
      <c r="H25" s="63" t="n">
        <f aca="false">IFERROR(ROUND(IF('📦 Product Input'!R27=1,('📦 Product Input'!I27/MAX(1,'📦 Product Input'!S27))*'📦 Product Input'!V27,'📦 Product Input'!V27/12),0),0)</f>
        <v>101</v>
      </c>
      <c r="I25" s="63" t="n">
        <f aca="false">IFERROR(ROUND(IF('📦 Product Input'!R27=1,('📦 Product Input'!J27/MAX(1,'📦 Product Input'!S27))*'📦 Product Input'!V27,'📦 Product Input'!V27/12),0),0)</f>
        <v>101</v>
      </c>
      <c r="J25" s="63" t="n">
        <f aca="false">IFERROR(ROUND(IF('📦 Product Input'!R27=1,('📦 Product Input'!K27/MAX(1,'📦 Product Input'!S27))*'📦 Product Input'!V27,'📦 Product Input'!V27/12),0),0)</f>
        <v>101</v>
      </c>
      <c r="K25" s="63" t="n">
        <f aca="false">IFERROR(ROUND(IF('📦 Product Input'!R27=1,('📦 Product Input'!L27/MAX(1,'📦 Product Input'!S27))*'📦 Product Input'!V27,'📦 Product Input'!V27/12),0),0)</f>
        <v>101</v>
      </c>
      <c r="L25" s="63" t="n">
        <f aca="false">IFERROR(ROUND(IF('📦 Product Input'!R27=1,('📦 Product Input'!M27/MAX(1,'📦 Product Input'!S27))*'📦 Product Input'!V27,'📦 Product Input'!V27/12),0),0)</f>
        <v>101</v>
      </c>
      <c r="M25" s="63" t="n">
        <f aca="false">IFERROR(ROUND(IF('📦 Product Input'!R27=1,('📦 Product Input'!N27/MAX(1,'📦 Product Input'!S27))*'📦 Product Input'!V27,'📦 Product Input'!V27/12),0),0)</f>
        <v>101</v>
      </c>
      <c r="N25" s="64" t="n">
        <f aca="false">SUM(B25:M25)</f>
        <v>1212</v>
      </c>
      <c r="O25" s="64" t="n">
        <f aca="false">'📦 Product Input'!W27</f>
        <v>0</v>
      </c>
    </row>
    <row r="26" customFormat="false" ht="19.5" hidden="false" customHeight="true" outlineLevel="0" collapsed="false">
      <c r="A26" s="62" t="str">
        <f aca="false">'📦 Product Input'!A28</f>
        <v>Product 23</v>
      </c>
      <c r="B26" s="63" t="n">
        <f aca="false">IFERROR(ROUND(IF('📦 Product Input'!R28=1,('📦 Product Input'!C28/MAX(1,'📦 Product Input'!S28))*'📦 Product Input'!V28,'📦 Product Input'!V28/12),0),0)</f>
        <v>101</v>
      </c>
      <c r="C26" s="63" t="n">
        <f aca="false">IFERROR(ROUND(IF('📦 Product Input'!R28=1,('📦 Product Input'!D28/MAX(1,'📦 Product Input'!S28))*'📦 Product Input'!V28,'📦 Product Input'!V28/12),0),0)</f>
        <v>101</v>
      </c>
      <c r="D26" s="63" t="n">
        <f aca="false">IFERROR(ROUND(IF('📦 Product Input'!R28=1,('📦 Product Input'!E28/MAX(1,'📦 Product Input'!S28))*'📦 Product Input'!V28,'📦 Product Input'!V28/12),0),0)</f>
        <v>101</v>
      </c>
      <c r="E26" s="63" t="n">
        <f aca="false">IFERROR(ROUND(IF('📦 Product Input'!R28=1,('📦 Product Input'!F28/MAX(1,'📦 Product Input'!S28))*'📦 Product Input'!V28,'📦 Product Input'!V28/12),0),0)</f>
        <v>101</v>
      </c>
      <c r="F26" s="63" t="n">
        <f aca="false">IFERROR(ROUND(IF('📦 Product Input'!R28=1,('📦 Product Input'!G28/MAX(1,'📦 Product Input'!S28))*'📦 Product Input'!V28,'📦 Product Input'!V28/12),0),0)</f>
        <v>101</v>
      </c>
      <c r="G26" s="63" t="n">
        <f aca="false">IFERROR(ROUND(IF('📦 Product Input'!R28=1,('📦 Product Input'!H28/MAX(1,'📦 Product Input'!S28))*'📦 Product Input'!V28,'📦 Product Input'!V28/12),0),0)</f>
        <v>101</v>
      </c>
      <c r="H26" s="63" t="n">
        <f aca="false">IFERROR(ROUND(IF('📦 Product Input'!R28=1,('📦 Product Input'!I28/MAX(1,'📦 Product Input'!S28))*'📦 Product Input'!V28,'📦 Product Input'!V28/12),0),0)</f>
        <v>101</v>
      </c>
      <c r="I26" s="63" t="n">
        <f aca="false">IFERROR(ROUND(IF('📦 Product Input'!R28=1,('📦 Product Input'!J28/MAX(1,'📦 Product Input'!S28))*'📦 Product Input'!V28,'📦 Product Input'!V28/12),0),0)</f>
        <v>101</v>
      </c>
      <c r="J26" s="63" t="n">
        <f aca="false">IFERROR(ROUND(IF('📦 Product Input'!R28=1,('📦 Product Input'!K28/MAX(1,'📦 Product Input'!S28))*'📦 Product Input'!V28,'📦 Product Input'!V28/12),0),0)</f>
        <v>101</v>
      </c>
      <c r="K26" s="63" t="n">
        <f aca="false">IFERROR(ROUND(IF('📦 Product Input'!R28=1,('📦 Product Input'!L28/MAX(1,'📦 Product Input'!S28))*'📦 Product Input'!V28,'📦 Product Input'!V28/12),0),0)</f>
        <v>101</v>
      </c>
      <c r="L26" s="63" t="n">
        <f aca="false">IFERROR(ROUND(IF('📦 Product Input'!R28=1,('📦 Product Input'!M28/MAX(1,'📦 Product Input'!S28))*'📦 Product Input'!V28,'📦 Product Input'!V28/12),0),0)</f>
        <v>101</v>
      </c>
      <c r="M26" s="63" t="n">
        <f aca="false">IFERROR(ROUND(IF('📦 Product Input'!R28=1,('📦 Product Input'!N28/MAX(1,'📦 Product Input'!S28))*'📦 Product Input'!V28,'📦 Product Input'!V28/12),0),0)</f>
        <v>101</v>
      </c>
      <c r="N26" s="64" t="n">
        <f aca="false">SUM(B26:M26)</f>
        <v>1212</v>
      </c>
      <c r="O26" s="64" t="n">
        <f aca="false">'📦 Product Input'!W28</f>
        <v>0</v>
      </c>
    </row>
    <row r="27" customFormat="false" ht="19.5" hidden="false" customHeight="true" outlineLevel="0" collapsed="false">
      <c r="A27" s="62" t="str">
        <f aca="false">'📦 Product Input'!A29</f>
        <v>Product 24</v>
      </c>
      <c r="B27" s="63" t="n">
        <f aca="false">IFERROR(ROUND(IF('📦 Product Input'!R29=1,('📦 Product Input'!C29/MAX(1,'📦 Product Input'!S29))*'📦 Product Input'!V29,'📦 Product Input'!V29/12),0),0)</f>
        <v>101</v>
      </c>
      <c r="C27" s="63" t="n">
        <f aca="false">IFERROR(ROUND(IF('📦 Product Input'!R29=1,('📦 Product Input'!D29/MAX(1,'📦 Product Input'!S29))*'📦 Product Input'!V29,'📦 Product Input'!V29/12),0),0)</f>
        <v>101</v>
      </c>
      <c r="D27" s="63" t="n">
        <f aca="false">IFERROR(ROUND(IF('📦 Product Input'!R29=1,('📦 Product Input'!E29/MAX(1,'📦 Product Input'!S29))*'📦 Product Input'!V29,'📦 Product Input'!V29/12),0),0)</f>
        <v>101</v>
      </c>
      <c r="E27" s="63" t="n">
        <f aca="false">IFERROR(ROUND(IF('📦 Product Input'!R29=1,('📦 Product Input'!F29/MAX(1,'📦 Product Input'!S29))*'📦 Product Input'!V29,'📦 Product Input'!V29/12),0),0)</f>
        <v>101</v>
      </c>
      <c r="F27" s="63" t="n">
        <f aca="false">IFERROR(ROUND(IF('📦 Product Input'!R29=1,('📦 Product Input'!G29/MAX(1,'📦 Product Input'!S29))*'📦 Product Input'!V29,'📦 Product Input'!V29/12),0),0)</f>
        <v>101</v>
      </c>
      <c r="G27" s="63" t="n">
        <f aca="false">IFERROR(ROUND(IF('📦 Product Input'!R29=1,('📦 Product Input'!H29/MAX(1,'📦 Product Input'!S29))*'📦 Product Input'!V29,'📦 Product Input'!V29/12),0),0)</f>
        <v>101</v>
      </c>
      <c r="H27" s="63" t="n">
        <f aca="false">IFERROR(ROUND(IF('📦 Product Input'!R29=1,('📦 Product Input'!I29/MAX(1,'📦 Product Input'!S29))*'📦 Product Input'!V29,'📦 Product Input'!V29/12),0),0)</f>
        <v>101</v>
      </c>
      <c r="I27" s="63" t="n">
        <f aca="false">IFERROR(ROUND(IF('📦 Product Input'!R29=1,('📦 Product Input'!J29/MAX(1,'📦 Product Input'!S29))*'📦 Product Input'!V29,'📦 Product Input'!V29/12),0),0)</f>
        <v>101</v>
      </c>
      <c r="J27" s="63" t="n">
        <f aca="false">IFERROR(ROUND(IF('📦 Product Input'!R29=1,('📦 Product Input'!K29/MAX(1,'📦 Product Input'!S29))*'📦 Product Input'!V29,'📦 Product Input'!V29/12),0),0)</f>
        <v>101</v>
      </c>
      <c r="K27" s="63" t="n">
        <f aca="false">IFERROR(ROUND(IF('📦 Product Input'!R29=1,('📦 Product Input'!L29/MAX(1,'📦 Product Input'!S29))*'📦 Product Input'!V29,'📦 Product Input'!V29/12),0),0)</f>
        <v>101</v>
      </c>
      <c r="L27" s="63" t="n">
        <f aca="false">IFERROR(ROUND(IF('📦 Product Input'!R29=1,('📦 Product Input'!M29/MAX(1,'📦 Product Input'!S29))*'📦 Product Input'!V29,'📦 Product Input'!V29/12),0),0)</f>
        <v>101</v>
      </c>
      <c r="M27" s="63" t="n">
        <f aca="false">IFERROR(ROUND(IF('📦 Product Input'!R29=1,('📦 Product Input'!N29/MAX(1,'📦 Product Input'!S29))*'📦 Product Input'!V29,'📦 Product Input'!V29/12),0),0)</f>
        <v>101</v>
      </c>
      <c r="N27" s="64" t="n">
        <f aca="false">SUM(B27:M27)</f>
        <v>1212</v>
      </c>
      <c r="O27" s="64" t="n">
        <f aca="false">'📦 Product Input'!W29</f>
        <v>0</v>
      </c>
    </row>
    <row r="28" customFormat="false" ht="19.5" hidden="false" customHeight="true" outlineLevel="0" collapsed="false">
      <c r="A28" s="62" t="str">
        <f aca="false">'📦 Product Input'!A30</f>
        <v>Product 25</v>
      </c>
      <c r="B28" s="63" t="n">
        <f aca="false">IFERROR(ROUND(IF('📦 Product Input'!R30=1,('📦 Product Input'!C30/MAX(1,'📦 Product Input'!S30))*'📦 Product Input'!V30,'📦 Product Input'!V30/12),0),0)</f>
        <v>101</v>
      </c>
      <c r="C28" s="63" t="n">
        <f aca="false">IFERROR(ROUND(IF('📦 Product Input'!R30=1,('📦 Product Input'!D30/MAX(1,'📦 Product Input'!S30))*'📦 Product Input'!V30,'📦 Product Input'!V30/12),0),0)</f>
        <v>101</v>
      </c>
      <c r="D28" s="63" t="n">
        <f aca="false">IFERROR(ROUND(IF('📦 Product Input'!R30=1,('📦 Product Input'!E30/MAX(1,'📦 Product Input'!S30))*'📦 Product Input'!V30,'📦 Product Input'!V30/12),0),0)</f>
        <v>101</v>
      </c>
      <c r="E28" s="63" t="n">
        <f aca="false">IFERROR(ROUND(IF('📦 Product Input'!R30=1,('📦 Product Input'!F30/MAX(1,'📦 Product Input'!S30))*'📦 Product Input'!V30,'📦 Product Input'!V30/12),0),0)</f>
        <v>101</v>
      </c>
      <c r="F28" s="63" t="n">
        <f aca="false">IFERROR(ROUND(IF('📦 Product Input'!R30=1,('📦 Product Input'!G30/MAX(1,'📦 Product Input'!S30))*'📦 Product Input'!V30,'📦 Product Input'!V30/12),0),0)</f>
        <v>101</v>
      </c>
      <c r="G28" s="63" t="n">
        <f aca="false">IFERROR(ROUND(IF('📦 Product Input'!R30=1,('📦 Product Input'!H30/MAX(1,'📦 Product Input'!S30))*'📦 Product Input'!V30,'📦 Product Input'!V30/12),0),0)</f>
        <v>101</v>
      </c>
      <c r="H28" s="63" t="n">
        <f aca="false">IFERROR(ROUND(IF('📦 Product Input'!R30=1,('📦 Product Input'!I30/MAX(1,'📦 Product Input'!S30))*'📦 Product Input'!V30,'📦 Product Input'!V30/12),0),0)</f>
        <v>101</v>
      </c>
      <c r="I28" s="63" t="n">
        <f aca="false">IFERROR(ROUND(IF('📦 Product Input'!R30=1,('📦 Product Input'!J30/MAX(1,'📦 Product Input'!S30))*'📦 Product Input'!V30,'📦 Product Input'!V30/12),0),0)</f>
        <v>101</v>
      </c>
      <c r="J28" s="63" t="n">
        <f aca="false">IFERROR(ROUND(IF('📦 Product Input'!R30=1,('📦 Product Input'!K30/MAX(1,'📦 Product Input'!S30))*'📦 Product Input'!V30,'📦 Product Input'!V30/12),0),0)</f>
        <v>101</v>
      </c>
      <c r="K28" s="63" t="n">
        <f aca="false">IFERROR(ROUND(IF('📦 Product Input'!R30=1,('📦 Product Input'!L30/MAX(1,'📦 Product Input'!S30))*'📦 Product Input'!V30,'📦 Product Input'!V30/12),0),0)</f>
        <v>101</v>
      </c>
      <c r="L28" s="63" t="n">
        <f aca="false">IFERROR(ROUND(IF('📦 Product Input'!R30=1,('📦 Product Input'!M30/MAX(1,'📦 Product Input'!S30))*'📦 Product Input'!V30,'📦 Product Input'!V30/12),0),0)</f>
        <v>101</v>
      </c>
      <c r="M28" s="63" t="n">
        <f aca="false">IFERROR(ROUND(IF('📦 Product Input'!R30=1,('📦 Product Input'!N30/MAX(1,'📦 Product Input'!S30))*'📦 Product Input'!V30,'📦 Product Input'!V30/12),0),0)</f>
        <v>101</v>
      </c>
      <c r="N28" s="64" t="n">
        <f aca="false">SUM(B28:M28)</f>
        <v>1212</v>
      </c>
      <c r="O28" s="64" t="n">
        <f aca="false">'📦 Product Input'!W30</f>
        <v>0</v>
      </c>
    </row>
    <row r="29" customFormat="false" ht="19.5" hidden="false" customHeight="true" outlineLevel="0" collapsed="false">
      <c r="A29" s="62" t="str">
        <f aca="false">'📦 Product Input'!A31</f>
        <v>Product 26</v>
      </c>
      <c r="B29" s="63" t="n">
        <f aca="false">IFERROR(ROUND(IF('📦 Product Input'!R31=1,('📦 Product Input'!C31/MAX(1,'📦 Product Input'!S31))*'📦 Product Input'!V31,'📦 Product Input'!V31/12),0),0)</f>
        <v>101</v>
      </c>
      <c r="C29" s="63" t="n">
        <f aca="false">IFERROR(ROUND(IF('📦 Product Input'!R31=1,('📦 Product Input'!D31/MAX(1,'📦 Product Input'!S31))*'📦 Product Input'!V31,'📦 Product Input'!V31/12),0),0)</f>
        <v>101</v>
      </c>
      <c r="D29" s="63" t="n">
        <f aca="false">IFERROR(ROUND(IF('📦 Product Input'!R31=1,('📦 Product Input'!E31/MAX(1,'📦 Product Input'!S31))*'📦 Product Input'!V31,'📦 Product Input'!V31/12),0),0)</f>
        <v>101</v>
      </c>
      <c r="E29" s="63" t="n">
        <f aca="false">IFERROR(ROUND(IF('📦 Product Input'!R31=1,('📦 Product Input'!F31/MAX(1,'📦 Product Input'!S31))*'📦 Product Input'!V31,'📦 Product Input'!V31/12),0),0)</f>
        <v>101</v>
      </c>
      <c r="F29" s="63" t="n">
        <f aca="false">IFERROR(ROUND(IF('📦 Product Input'!R31=1,('📦 Product Input'!G31/MAX(1,'📦 Product Input'!S31))*'📦 Product Input'!V31,'📦 Product Input'!V31/12),0),0)</f>
        <v>101</v>
      </c>
      <c r="G29" s="63" t="n">
        <f aca="false">IFERROR(ROUND(IF('📦 Product Input'!R31=1,('📦 Product Input'!H31/MAX(1,'📦 Product Input'!S31))*'📦 Product Input'!V31,'📦 Product Input'!V31/12),0),0)</f>
        <v>101</v>
      </c>
      <c r="H29" s="63" t="n">
        <f aca="false">IFERROR(ROUND(IF('📦 Product Input'!R31=1,('📦 Product Input'!I31/MAX(1,'📦 Product Input'!S31))*'📦 Product Input'!V31,'📦 Product Input'!V31/12),0),0)</f>
        <v>101</v>
      </c>
      <c r="I29" s="63" t="n">
        <f aca="false">IFERROR(ROUND(IF('📦 Product Input'!R31=1,('📦 Product Input'!J31/MAX(1,'📦 Product Input'!S31))*'📦 Product Input'!V31,'📦 Product Input'!V31/12),0),0)</f>
        <v>101</v>
      </c>
      <c r="J29" s="63" t="n">
        <f aca="false">IFERROR(ROUND(IF('📦 Product Input'!R31=1,('📦 Product Input'!K31/MAX(1,'📦 Product Input'!S31))*'📦 Product Input'!V31,'📦 Product Input'!V31/12),0),0)</f>
        <v>101</v>
      </c>
      <c r="K29" s="63" t="n">
        <f aca="false">IFERROR(ROUND(IF('📦 Product Input'!R31=1,('📦 Product Input'!L31/MAX(1,'📦 Product Input'!S31))*'📦 Product Input'!V31,'📦 Product Input'!V31/12),0),0)</f>
        <v>101</v>
      </c>
      <c r="L29" s="63" t="n">
        <f aca="false">IFERROR(ROUND(IF('📦 Product Input'!R31=1,('📦 Product Input'!M31/MAX(1,'📦 Product Input'!S31))*'📦 Product Input'!V31,'📦 Product Input'!V31/12),0),0)</f>
        <v>101</v>
      </c>
      <c r="M29" s="63" t="n">
        <f aca="false">IFERROR(ROUND(IF('📦 Product Input'!R31=1,('📦 Product Input'!N31/MAX(1,'📦 Product Input'!S31))*'📦 Product Input'!V31,'📦 Product Input'!V31/12),0),0)</f>
        <v>101</v>
      </c>
      <c r="N29" s="64" t="n">
        <f aca="false">SUM(B29:M29)</f>
        <v>1212</v>
      </c>
      <c r="O29" s="64" t="n">
        <f aca="false">'📦 Product Input'!W31</f>
        <v>0</v>
      </c>
    </row>
    <row r="30" customFormat="false" ht="19.5" hidden="false" customHeight="true" outlineLevel="0" collapsed="false">
      <c r="A30" s="62" t="str">
        <f aca="false">'📦 Product Input'!A32</f>
        <v>Product 27</v>
      </c>
      <c r="B30" s="63" t="n">
        <f aca="false">IFERROR(ROUND(IF('📦 Product Input'!R32=1,('📦 Product Input'!C32/MAX(1,'📦 Product Input'!S32))*'📦 Product Input'!V32,'📦 Product Input'!V32/12),0),0)</f>
        <v>101</v>
      </c>
      <c r="C30" s="63" t="n">
        <f aca="false">IFERROR(ROUND(IF('📦 Product Input'!R32=1,('📦 Product Input'!D32/MAX(1,'📦 Product Input'!S32))*'📦 Product Input'!V32,'📦 Product Input'!V32/12),0),0)</f>
        <v>101</v>
      </c>
      <c r="D30" s="63" t="n">
        <f aca="false">IFERROR(ROUND(IF('📦 Product Input'!R32=1,('📦 Product Input'!E32/MAX(1,'📦 Product Input'!S32))*'📦 Product Input'!V32,'📦 Product Input'!V32/12),0),0)</f>
        <v>101</v>
      </c>
      <c r="E30" s="63" t="n">
        <f aca="false">IFERROR(ROUND(IF('📦 Product Input'!R32=1,('📦 Product Input'!F32/MAX(1,'📦 Product Input'!S32))*'📦 Product Input'!V32,'📦 Product Input'!V32/12),0),0)</f>
        <v>101</v>
      </c>
      <c r="F30" s="63" t="n">
        <f aca="false">IFERROR(ROUND(IF('📦 Product Input'!R32=1,('📦 Product Input'!G32/MAX(1,'📦 Product Input'!S32))*'📦 Product Input'!V32,'📦 Product Input'!V32/12),0),0)</f>
        <v>101</v>
      </c>
      <c r="G30" s="63" t="n">
        <f aca="false">IFERROR(ROUND(IF('📦 Product Input'!R32=1,('📦 Product Input'!H32/MAX(1,'📦 Product Input'!S32))*'📦 Product Input'!V32,'📦 Product Input'!V32/12),0),0)</f>
        <v>101</v>
      </c>
      <c r="H30" s="63" t="n">
        <f aca="false">IFERROR(ROUND(IF('📦 Product Input'!R32=1,('📦 Product Input'!I32/MAX(1,'📦 Product Input'!S32))*'📦 Product Input'!V32,'📦 Product Input'!V32/12),0),0)</f>
        <v>101</v>
      </c>
      <c r="I30" s="63" t="n">
        <f aca="false">IFERROR(ROUND(IF('📦 Product Input'!R32=1,('📦 Product Input'!J32/MAX(1,'📦 Product Input'!S32))*'📦 Product Input'!V32,'📦 Product Input'!V32/12),0),0)</f>
        <v>101</v>
      </c>
      <c r="J30" s="63" t="n">
        <f aca="false">IFERROR(ROUND(IF('📦 Product Input'!R32=1,('📦 Product Input'!K32/MAX(1,'📦 Product Input'!S32))*'📦 Product Input'!V32,'📦 Product Input'!V32/12),0),0)</f>
        <v>101</v>
      </c>
      <c r="K30" s="63" t="n">
        <f aca="false">IFERROR(ROUND(IF('📦 Product Input'!R32=1,('📦 Product Input'!L32/MAX(1,'📦 Product Input'!S32))*'📦 Product Input'!V32,'📦 Product Input'!V32/12),0),0)</f>
        <v>101</v>
      </c>
      <c r="L30" s="63" t="n">
        <f aca="false">IFERROR(ROUND(IF('📦 Product Input'!R32=1,('📦 Product Input'!M32/MAX(1,'📦 Product Input'!S32))*'📦 Product Input'!V32,'📦 Product Input'!V32/12),0),0)</f>
        <v>101</v>
      </c>
      <c r="M30" s="63" t="n">
        <f aca="false">IFERROR(ROUND(IF('📦 Product Input'!R32=1,('📦 Product Input'!N32/MAX(1,'📦 Product Input'!S32))*'📦 Product Input'!V32,'📦 Product Input'!V32/12),0),0)</f>
        <v>101</v>
      </c>
      <c r="N30" s="64" t="n">
        <f aca="false">SUM(B30:M30)</f>
        <v>1212</v>
      </c>
      <c r="O30" s="64" t="n">
        <f aca="false">'📦 Product Input'!W32</f>
        <v>0</v>
      </c>
    </row>
    <row r="31" customFormat="false" ht="19.5" hidden="false" customHeight="true" outlineLevel="0" collapsed="false">
      <c r="A31" s="62" t="str">
        <f aca="false">'📦 Product Input'!A33</f>
        <v>Product 28</v>
      </c>
      <c r="B31" s="63" t="n">
        <f aca="false">IFERROR(ROUND(IF('📦 Product Input'!R33=1,('📦 Product Input'!C33/MAX(1,'📦 Product Input'!S33))*'📦 Product Input'!V33,'📦 Product Input'!V33/12),0),0)</f>
        <v>101</v>
      </c>
      <c r="C31" s="63" t="n">
        <f aca="false">IFERROR(ROUND(IF('📦 Product Input'!R33=1,('📦 Product Input'!D33/MAX(1,'📦 Product Input'!S33))*'📦 Product Input'!V33,'📦 Product Input'!V33/12),0),0)</f>
        <v>101</v>
      </c>
      <c r="D31" s="63" t="n">
        <f aca="false">IFERROR(ROUND(IF('📦 Product Input'!R33=1,('📦 Product Input'!E33/MAX(1,'📦 Product Input'!S33))*'📦 Product Input'!V33,'📦 Product Input'!V33/12),0),0)</f>
        <v>101</v>
      </c>
      <c r="E31" s="63" t="n">
        <f aca="false">IFERROR(ROUND(IF('📦 Product Input'!R33=1,('📦 Product Input'!F33/MAX(1,'📦 Product Input'!S33))*'📦 Product Input'!V33,'📦 Product Input'!V33/12),0),0)</f>
        <v>101</v>
      </c>
      <c r="F31" s="63" t="n">
        <f aca="false">IFERROR(ROUND(IF('📦 Product Input'!R33=1,('📦 Product Input'!G33/MAX(1,'📦 Product Input'!S33))*'📦 Product Input'!V33,'📦 Product Input'!V33/12),0),0)</f>
        <v>101</v>
      </c>
      <c r="G31" s="63" t="n">
        <f aca="false">IFERROR(ROUND(IF('📦 Product Input'!R33=1,('📦 Product Input'!H33/MAX(1,'📦 Product Input'!S33))*'📦 Product Input'!V33,'📦 Product Input'!V33/12),0),0)</f>
        <v>101</v>
      </c>
      <c r="H31" s="63" t="n">
        <f aca="false">IFERROR(ROUND(IF('📦 Product Input'!R33=1,('📦 Product Input'!I33/MAX(1,'📦 Product Input'!S33))*'📦 Product Input'!V33,'📦 Product Input'!V33/12),0),0)</f>
        <v>101</v>
      </c>
      <c r="I31" s="63" t="n">
        <f aca="false">IFERROR(ROUND(IF('📦 Product Input'!R33=1,('📦 Product Input'!J33/MAX(1,'📦 Product Input'!S33))*'📦 Product Input'!V33,'📦 Product Input'!V33/12),0),0)</f>
        <v>101</v>
      </c>
      <c r="J31" s="63" t="n">
        <f aca="false">IFERROR(ROUND(IF('📦 Product Input'!R33=1,('📦 Product Input'!K33/MAX(1,'📦 Product Input'!S33))*'📦 Product Input'!V33,'📦 Product Input'!V33/12),0),0)</f>
        <v>101</v>
      </c>
      <c r="K31" s="63" t="n">
        <f aca="false">IFERROR(ROUND(IF('📦 Product Input'!R33=1,('📦 Product Input'!L33/MAX(1,'📦 Product Input'!S33))*'📦 Product Input'!V33,'📦 Product Input'!V33/12),0),0)</f>
        <v>101</v>
      </c>
      <c r="L31" s="63" t="n">
        <f aca="false">IFERROR(ROUND(IF('📦 Product Input'!R33=1,('📦 Product Input'!M33/MAX(1,'📦 Product Input'!S33))*'📦 Product Input'!V33,'📦 Product Input'!V33/12),0),0)</f>
        <v>101</v>
      </c>
      <c r="M31" s="63" t="n">
        <f aca="false">IFERROR(ROUND(IF('📦 Product Input'!R33=1,('📦 Product Input'!N33/MAX(1,'📦 Product Input'!S33))*'📦 Product Input'!V33,'📦 Product Input'!V33/12),0),0)</f>
        <v>101</v>
      </c>
      <c r="N31" s="64" t="n">
        <f aca="false">SUM(B31:M31)</f>
        <v>1212</v>
      </c>
      <c r="O31" s="64" t="n">
        <f aca="false">'📦 Product Input'!W33</f>
        <v>0</v>
      </c>
    </row>
    <row r="32" customFormat="false" ht="19.5" hidden="false" customHeight="true" outlineLevel="0" collapsed="false">
      <c r="A32" s="62" t="str">
        <f aca="false">'📦 Product Input'!A34</f>
        <v>Product 29</v>
      </c>
      <c r="B32" s="63" t="n">
        <f aca="false">IFERROR(ROUND(IF('📦 Product Input'!R34=1,('📦 Product Input'!C34/MAX(1,'📦 Product Input'!S34))*'📦 Product Input'!V34,'📦 Product Input'!V34/12),0),0)</f>
        <v>101</v>
      </c>
      <c r="C32" s="63" t="n">
        <f aca="false">IFERROR(ROUND(IF('📦 Product Input'!R34=1,('📦 Product Input'!D34/MAX(1,'📦 Product Input'!S34))*'📦 Product Input'!V34,'📦 Product Input'!V34/12),0),0)</f>
        <v>101</v>
      </c>
      <c r="D32" s="63" t="n">
        <f aca="false">IFERROR(ROUND(IF('📦 Product Input'!R34=1,('📦 Product Input'!E34/MAX(1,'📦 Product Input'!S34))*'📦 Product Input'!V34,'📦 Product Input'!V34/12),0),0)</f>
        <v>101</v>
      </c>
      <c r="E32" s="63" t="n">
        <f aca="false">IFERROR(ROUND(IF('📦 Product Input'!R34=1,('📦 Product Input'!F34/MAX(1,'📦 Product Input'!S34))*'📦 Product Input'!V34,'📦 Product Input'!V34/12),0),0)</f>
        <v>101</v>
      </c>
      <c r="F32" s="63" t="n">
        <f aca="false">IFERROR(ROUND(IF('📦 Product Input'!R34=1,('📦 Product Input'!G34/MAX(1,'📦 Product Input'!S34))*'📦 Product Input'!V34,'📦 Product Input'!V34/12),0),0)</f>
        <v>101</v>
      </c>
      <c r="G32" s="63" t="n">
        <f aca="false">IFERROR(ROUND(IF('📦 Product Input'!R34=1,('📦 Product Input'!H34/MAX(1,'📦 Product Input'!S34))*'📦 Product Input'!V34,'📦 Product Input'!V34/12),0),0)</f>
        <v>101</v>
      </c>
      <c r="H32" s="63" t="n">
        <f aca="false">IFERROR(ROUND(IF('📦 Product Input'!R34=1,('📦 Product Input'!I34/MAX(1,'📦 Product Input'!S34))*'📦 Product Input'!V34,'📦 Product Input'!V34/12),0),0)</f>
        <v>101</v>
      </c>
      <c r="I32" s="63" t="n">
        <f aca="false">IFERROR(ROUND(IF('📦 Product Input'!R34=1,('📦 Product Input'!J34/MAX(1,'📦 Product Input'!S34))*'📦 Product Input'!V34,'📦 Product Input'!V34/12),0),0)</f>
        <v>101</v>
      </c>
      <c r="J32" s="63" t="n">
        <f aca="false">IFERROR(ROUND(IF('📦 Product Input'!R34=1,('📦 Product Input'!K34/MAX(1,'📦 Product Input'!S34))*'📦 Product Input'!V34,'📦 Product Input'!V34/12),0),0)</f>
        <v>101</v>
      </c>
      <c r="K32" s="63" t="n">
        <f aca="false">IFERROR(ROUND(IF('📦 Product Input'!R34=1,('📦 Product Input'!L34/MAX(1,'📦 Product Input'!S34))*'📦 Product Input'!V34,'📦 Product Input'!V34/12),0),0)</f>
        <v>101</v>
      </c>
      <c r="L32" s="63" t="n">
        <f aca="false">IFERROR(ROUND(IF('📦 Product Input'!R34=1,('📦 Product Input'!M34/MAX(1,'📦 Product Input'!S34))*'📦 Product Input'!V34,'📦 Product Input'!V34/12),0),0)</f>
        <v>101</v>
      </c>
      <c r="M32" s="63" t="n">
        <f aca="false">IFERROR(ROUND(IF('📦 Product Input'!R34=1,('📦 Product Input'!N34/MAX(1,'📦 Product Input'!S34))*'📦 Product Input'!V34,'📦 Product Input'!V34/12),0),0)</f>
        <v>101</v>
      </c>
      <c r="N32" s="64" t="n">
        <f aca="false">SUM(B32:M32)</f>
        <v>1212</v>
      </c>
      <c r="O32" s="64" t="n">
        <f aca="false">'📦 Product Input'!W34</f>
        <v>0</v>
      </c>
    </row>
    <row r="33" customFormat="false" ht="19.5" hidden="false" customHeight="true" outlineLevel="0" collapsed="false">
      <c r="A33" s="62" t="str">
        <f aca="false">'📦 Product Input'!A35</f>
        <v>Product 30</v>
      </c>
      <c r="B33" s="63" t="n">
        <f aca="false">IFERROR(ROUND(IF('📦 Product Input'!R35=1,('📦 Product Input'!C35/MAX(1,'📦 Product Input'!S35))*'📦 Product Input'!V35,'📦 Product Input'!V35/12),0),0)</f>
        <v>101</v>
      </c>
      <c r="C33" s="63" t="n">
        <f aca="false">IFERROR(ROUND(IF('📦 Product Input'!R35=1,('📦 Product Input'!D35/MAX(1,'📦 Product Input'!S35))*'📦 Product Input'!V35,'📦 Product Input'!V35/12),0),0)</f>
        <v>101</v>
      </c>
      <c r="D33" s="63" t="n">
        <f aca="false">IFERROR(ROUND(IF('📦 Product Input'!R35=1,('📦 Product Input'!E35/MAX(1,'📦 Product Input'!S35))*'📦 Product Input'!V35,'📦 Product Input'!V35/12),0),0)</f>
        <v>101</v>
      </c>
      <c r="E33" s="63" t="n">
        <f aca="false">IFERROR(ROUND(IF('📦 Product Input'!R35=1,('📦 Product Input'!F35/MAX(1,'📦 Product Input'!S35))*'📦 Product Input'!V35,'📦 Product Input'!V35/12),0),0)</f>
        <v>101</v>
      </c>
      <c r="F33" s="63" t="n">
        <f aca="false">IFERROR(ROUND(IF('📦 Product Input'!R35=1,('📦 Product Input'!G35/MAX(1,'📦 Product Input'!S35))*'📦 Product Input'!V35,'📦 Product Input'!V35/12),0),0)</f>
        <v>101</v>
      </c>
      <c r="G33" s="63" t="n">
        <f aca="false">IFERROR(ROUND(IF('📦 Product Input'!R35=1,('📦 Product Input'!H35/MAX(1,'📦 Product Input'!S35))*'📦 Product Input'!V35,'📦 Product Input'!V35/12),0),0)</f>
        <v>101</v>
      </c>
      <c r="H33" s="63" t="n">
        <f aca="false">IFERROR(ROUND(IF('📦 Product Input'!R35=1,('📦 Product Input'!I35/MAX(1,'📦 Product Input'!S35))*'📦 Product Input'!V35,'📦 Product Input'!V35/12),0),0)</f>
        <v>101</v>
      </c>
      <c r="I33" s="63" t="n">
        <f aca="false">IFERROR(ROUND(IF('📦 Product Input'!R35=1,('📦 Product Input'!J35/MAX(1,'📦 Product Input'!S35))*'📦 Product Input'!V35,'📦 Product Input'!V35/12),0),0)</f>
        <v>101</v>
      </c>
      <c r="J33" s="63" t="n">
        <f aca="false">IFERROR(ROUND(IF('📦 Product Input'!R35=1,('📦 Product Input'!K35/MAX(1,'📦 Product Input'!S35))*'📦 Product Input'!V35,'📦 Product Input'!V35/12),0),0)</f>
        <v>101</v>
      </c>
      <c r="K33" s="63" t="n">
        <f aca="false">IFERROR(ROUND(IF('📦 Product Input'!R35=1,('📦 Product Input'!L35/MAX(1,'📦 Product Input'!S35))*'📦 Product Input'!V35,'📦 Product Input'!V35/12),0),0)</f>
        <v>101</v>
      </c>
      <c r="L33" s="63" t="n">
        <f aca="false">IFERROR(ROUND(IF('📦 Product Input'!R35=1,('📦 Product Input'!M35/MAX(1,'📦 Product Input'!S35))*'📦 Product Input'!V35,'📦 Product Input'!V35/12),0),0)</f>
        <v>101</v>
      </c>
      <c r="M33" s="63" t="n">
        <f aca="false">IFERROR(ROUND(IF('📦 Product Input'!R35=1,('📦 Product Input'!N35/MAX(1,'📦 Product Input'!S35))*'📦 Product Input'!V35,'📦 Product Input'!V35/12),0),0)</f>
        <v>101</v>
      </c>
      <c r="N33" s="64" t="n">
        <f aca="false">SUM(B33:M33)</f>
        <v>1212</v>
      </c>
      <c r="O33" s="64" t="n">
        <f aca="false">'📦 Product Input'!W35</f>
        <v>0</v>
      </c>
    </row>
    <row r="34" customFormat="false" ht="19.5" hidden="false" customHeight="true" outlineLevel="0" collapsed="false">
      <c r="A34" s="62" t="str">
        <f aca="false">'📦 Product Input'!A36</f>
        <v>Product 31</v>
      </c>
      <c r="B34" s="63" t="n">
        <f aca="false">IFERROR(ROUND(IF('📦 Product Input'!R36=1,('📦 Product Input'!C36/MAX(1,'📦 Product Input'!S36))*'📦 Product Input'!V36,'📦 Product Input'!V36/12),0),0)</f>
        <v>101</v>
      </c>
      <c r="C34" s="63" t="n">
        <f aca="false">IFERROR(ROUND(IF('📦 Product Input'!R36=1,('📦 Product Input'!D36/MAX(1,'📦 Product Input'!S36))*'📦 Product Input'!V36,'📦 Product Input'!V36/12),0),0)</f>
        <v>101</v>
      </c>
      <c r="D34" s="63" t="n">
        <f aca="false">IFERROR(ROUND(IF('📦 Product Input'!R36=1,('📦 Product Input'!E36/MAX(1,'📦 Product Input'!S36))*'📦 Product Input'!V36,'📦 Product Input'!V36/12),0),0)</f>
        <v>101</v>
      </c>
      <c r="E34" s="63" t="n">
        <f aca="false">IFERROR(ROUND(IF('📦 Product Input'!R36=1,('📦 Product Input'!F36/MAX(1,'📦 Product Input'!S36))*'📦 Product Input'!V36,'📦 Product Input'!V36/12),0),0)</f>
        <v>101</v>
      </c>
      <c r="F34" s="63" t="n">
        <f aca="false">IFERROR(ROUND(IF('📦 Product Input'!R36=1,('📦 Product Input'!G36/MAX(1,'📦 Product Input'!S36))*'📦 Product Input'!V36,'📦 Product Input'!V36/12),0),0)</f>
        <v>101</v>
      </c>
      <c r="G34" s="63" t="n">
        <f aca="false">IFERROR(ROUND(IF('📦 Product Input'!R36=1,('📦 Product Input'!H36/MAX(1,'📦 Product Input'!S36))*'📦 Product Input'!V36,'📦 Product Input'!V36/12),0),0)</f>
        <v>101</v>
      </c>
      <c r="H34" s="63" t="n">
        <f aca="false">IFERROR(ROUND(IF('📦 Product Input'!R36=1,('📦 Product Input'!I36/MAX(1,'📦 Product Input'!S36))*'📦 Product Input'!V36,'📦 Product Input'!V36/12),0),0)</f>
        <v>101</v>
      </c>
      <c r="I34" s="63" t="n">
        <f aca="false">IFERROR(ROUND(IF('📦 Product Input'!R36=1,('📦 Product Input'!J36/MAX(1,'📦 Product Input'!S36))*'📦 Product Input'!V36,'📦 Product Input'!V36/12),0),0)</f>
        <v>101</v>
      </c>
      <c r="J34" s="63" t="n">
        <f aca="false">IFERROR(ROUND(IF('📦 Product Input'!R36=1,('📦 Product Input'!K36/MAX(1,'📦 Product Input'!S36))*'📦 Product Input'!V36,'📦 Product Input'!V36/12),0),0)</f>
        <v>101</v>
      </c>
      <c r="K34" s="63" t="n">
        <f aca="false">IFERROR(ROUND(IF('📦 Product Input'!R36=1,('📦 Product Input'!L36/MAX(1,'📦 Product Input'!S36))*'📦 Product Input'!V36,'📦 Product Input'!V36/12),0),0)</f>
        <v>101</v>
      </c>
      <c r="L34" s="63" t="n">
        <f aca="false">IFERROR(ROUND(IF('📦 Product Input'!R36=1,('📦 Product Input'!M36/MAX(1,'📦 Product Input'!S36))*'📦 Product Input'!V36,'📦 Product Input'!V36/12),0),0)</f>
        <v>101</v>
      </c>
      <c r="M34" s="63" t="n">
        <f aca="false">IFERROR(ROUND(IF('📦 Product Input'!R36=1,('📦 Product Input'!N36/MAX(1,'📦 Product Input'!S36))*'📦 Product Input'!V36,'📦 Product Input'!V36/12),0),0)</f>
        <v>101</v>
      </c>
      <c r="N34" s="64" t="n">
        <f aca="false">SUM(B34:M34)</f>
        <v>1212</v>
      </c>
      <c r="O34" s="64" t="n">
        <f aca="false">'📦 Product Input'!W36</f>
        <v>0</v>
      </c>
    </row>
    <row r="35" customFormat="false" ht="19.5" hidden="false" customHeight="true" outlineLevel="0" collapsed="false">
      <c r="A35" s="62" t="str">
        <f aca="false">'📦 Product Input'!A37</f>
        <v>Product 32</v>
      </c>
      <c r="B35" s="63" t="n">
        <f aca="false">IFERROR(ROUND(IF('📦 Product Input'!R37=1,('📦 Product Input'!C37/MAX(1,'📦 Product Input'!S37))*'📦 Product Input'!V37,'📦 Product Input'!V37/12),0),0)</f>
        <v>101</v>
      </c>
      <c r="C35" s="63" t="n">
        <f aca="false">IFERROR(ROUND(IF('📦 Product Input'!R37=1,('📦 Product Input'!D37/MAX(1,'📦 Product Input'!S37))*'📦 Product Input'!V37,'📦 Product Input'!V37/12),0),0)</f>
        <v>101</v>
      </c>
      <c r="D35" s="63" t="n">
        <f aca="false">IFERROR(ROUND(IF('📦 Product Input'!R37=1,('📦 Product Input'!E37/MAX(1,'📦 Product Input'!S37))*'📦 Product Input'!V37,'📦 Product Input'!V37/12),0),0)</f>
        <v>101</v>
      </c>
      <c r="E35" s="63" t="n">
        <f aca="false">IFERROR(ROUND(IF('📦 Product Input'!R37=1,('📦 Product Input'!F37/MAX(1,'📦 Product Input'!S37))*'📦 Product Input'!V37,'📦 Product Input'!V37/12),0),0)</f>
        <v>101</v>
      </c>
      <c r="F35" s="63" t="n">
        <f aca="false">IFERROR(ROUND(IF('📦 Product Input'!R37=1,('📦 Product Input'!G37/MAX(1,'📦 Product Input'!S37))*'📦 Product Input'!V37,'📦 Product Input'!V37/12),0),0)</f>
        <v>101</v>
      </c>
      <c r="G35" s="63" t="n">
        <f aca="false">IFERROR(ROUND(IF('📦 Product Input'!R37=1,('📦 Product Input'!H37/MAX(1,'📦 Product Input'!S37))*'📦 Product Input'!V37,'📦 Product Input'!V37/12),0),0)</f>
        <v>101</v>
      </c>
      <c r="H35" s="63" t="n">
        <f aca="false">IFERROR(ROUND(IF('📦 Product Input'!R37=1,('📦 Product Input'!I37/MAX(1,'📦 Product Input'!S37))*'📦 Product Input'!V37,'📦 Product Input'!V37/12),0),0)</f>
        <v>101</v>
      </c>
      <c r="I35" s="63" t="n">
        <f aca="false">IFERROR(ROUND(IF('📦 Product Input'!R37=1,('📦 Product Input'!J37/MAX(1,'📦 Product Input'!S37))*'📦 Product Input'!V37,'📦 Product Input'!V37/12),0),0)</f>
        <v>101</v>
      </c>
      <c r="J35" s="63" t="n">
        <f aca="false">IFERROR(ROUND(IF('📦 Product Input'!R37=1,('📦 Product Input'!K37/MAX(1,'📦 Product Input'!S37))*'📦 Product Input'!V37,'📦 Product Input'!V37/12),0),0)</f>
        <v>101</v>
      </c>
      <c r="K35" s="63" t="n">
        <f aca="false">IFERROR(ROUND(IF('📦 Product Input'!R37=1,('📦 Product Input'!L37/MAX(1,'📦 Product Input'!S37))*'📦 Product Input'!V37,'📦 Product Input'!V37/12),0),0)</f>
        <v>101</v>
      </c>
      <c r="L35" s="63" t="n">
        <f aca="false">IFERROR(ROUND(IF('📦 Product Input'!R37=1,('📦 Product Input'!M37/MAX(1,'📦 Product Input'!S37))*'📦 Product Input'!V37,'📦 Product Input'!V37/12),0),0)</f>
        <v>101</v>
      </c>
      <c r="M35" s="63" t="n">
        <f aca="false">IFERROR(ROUND(IF('📦 Product Input'!R37=1,('📦 Product Input'!N37/MAX(1,'📦 Product Input'!S37))*'📦 Product Input'!V37,'📦 Product Input'!V37/12),0),0)</f>
        <v>101</v>
      </c>
      <c r="N35" s="64" t="n">
        <f aca="false">SUM(B35:M35)</f>
        <v>1212</v>
      </c>
      <c r="O35" s="64" t="n">
        <f aca="false">'📦 Product Input'!W37</f>
        <v>0</v>
      </c>
    </row>
    <row r="36" customFormat="false" ht="19.5" hidden="false" customHeight="true" outlineLevel="0" collapsed="false">
      <c r="A36" s="62" t="str">
        <f aca="false">'📦 Product Input'!A38</f>
        <v>Product 33</v>
      </c>
      <c r="B36" s="63" t="n">
        <f aca="false">IFERROR(ROUND(IF('📦 Product Input'!R38=1,('📦 Product Input'!C38/MAX(1,'📦 Product Input'!S38))*'📦 Product Input'!V38,'📦 Product Input'!V38/12),0),0)</f>
        <v>101</v>
      </c>
      <c r="C36" s="63" t="n">
        <f aca="false">IFERROR(ROUND(IF('📦 Product Input'!R38=1,('📦 Product Input'!D38/MAX(1,'📦 Product Input'!S38))*'📦 Product Input'!V38,'📦 Product Input'!V38/12),0),0)</f>
        <v>101</v>
      </c>
      <c r="D36" s="63" t="n">
        <f aca="false">IFERROR(ROUND(IF('📦 Product Input'!R38=1,('📦 Product Input'!E38/MAX(1,'📦 Product Input'!S38))*'📦 Product Input'!V38,'📦 Product Input'!V38/12),0),0)</f>
        <v>101</v>
      </c>
      <c r="E36" s="63" t="n">
        <f aca="false">IFERROR(ROUND(IF('📦 Product Input'!R38=1,('📦 Product Input'!F38/MAX(1,'📦 Product Input'!S38))*'📦 Product Input'!V38,'📦 Product Input'!V38/12),0),0)</f>
        <v>101</v>
      </c>
      <c r="F36" s="63" t="n">
        <f aca="false">IFERROR(ROUND(IF('📦 Product Input'!R38=1,('📦 Product Input'!G38/MAX(1,'📦 Product Input'!S38))*'📦 Product Input'!V38,'📦 Product Input'!V38/12),0),0)</f>
        <v>101</v>
      </c>
      <c r="G36" s="63" t="n">
        <f aca="false">IFERROR(ROUND(IF('📦 Product Input'!R38=1,('📦 Product Input'!H38/MAX(1,'📦 Product Input'!S38))*'📦 Product Input'!V38,'📦 Product Input'!V38/12),0),0)</f>
        <v>101</v>
      </c>
      <c r="H36" s="63" t="n">
        <f aca="false">IFERROR(ROUND(IF('📦 Product Input'!R38=1,('📦 Product Input'!I38/MAX(1,'📦 Product Input'!S38))*'📦 Product Input'!V38,'📦 Product Input'!V38/12),0),0)</f>
        <v>101</v>
      </c>
      <c r="I36" s="63" t="n">
        <f aca="false">IFERROR(ROUND(IF('📦 Product Input'!R38=1,('📦 Product Input'!J38/MAX(1,'📦 Product Input'!S38))*'📦 Product Input'!V38,'📦 Product Input'!V38/12),0),0)</f>
        <v>101</v>
      </c>
      <c r="J36" s="63" t="n">
        <f aca="false">IFERROR(ROUND(IF('📦 Product Input'!R38=1,('📦 Product Input'!K38/MAX(1,'📦 Product Input'!S38))*'📦 Product Input'!V38,'📦 Product Input'!V38/12),0),0)</f>
        <v>101</v>
      </c>
      <c r="K36" s="63" t="n">
        <f aca="false">IFERROR(ROUND(IF('📦 Product Input'!R38=1,('📦 Product Input'!L38/MAX(1,'📦 Product Input'!S38))*'📦 Product Input'!V38,'📦 Product Input'!V38/12),0),0)</f>
        <v>101</v>
      </c>
      <c r="L36" s="63" t="n">
        <f aca="false">IFERROR(ROUND(IF('📦 Product Input'!R38=1,('📦 Product Input'!M38/MAX(1,'📦 Product Input'!S38))*'📦 Product Input'!V38,'📦 Product Input'!V38/12),0),0)</f>
        <v>101</v>
      </c>
      <c r="M36" s="63" t="n">
        <f aca="false">IFERROR(ROUND(IF('📦 Product Input'!R38=1,('📦 Product Input'!N38/MAX(1,'📦 Product Input'!S38))*'📦 Product Input'!V38,'📦 Product Input'!V38/12),0),0)</f>
        <v>101</v>
      </c>
      <c r="N36" s="64" t="n">
        <f aca="false">SUM(B36:M36)</f>
        <v>1212</v>
      </c>
      <c r="O36" s="64" t="n">
        <f aca="false">'📦 Product Input'!W38</f>
        <v>0</v>
      </c>
    </row>
    <row r="37" customFormat="false" ht="19.5" hidden="false" customHeight="true" outlineLevel="0" collapsed="false">
      <c r="A37" s="62" t="str">
        <f aca="false">'📦 Product Input'!A39</f>
        <v>Product 34</v>
      </c>
      <c r="B37" s="63" t="n">
        <f aca="false">IFERROR(ROUND(IF('📦 Product Input'!R39=1,('📦 Product Input'!C39/MAX(1,'📦 Product Input'!S39))*'📦 Product Input'!V39,'📦 Product Input'!V39/12),0),0)</f>
        <v>101</v>
      </c>
      <c r="C37" s="63" t="n">
        <f aca="false">IFERROR(ROUND(IF('📦 Product Input'!R39=1,('📦 Product Input'!D39/MAX(1,'📦 Product Input'!S39))*'📦 Product Input'!V39,'📦 Product Input'!V39/12),0),0)</f>
        <v>101</v>
      </c>
      <c r="D37" s="63" t="n">
        <f aca="false">IFERROR(ROUND(IF('📦 Product Input'!R39=1,('📦 Product Input'!E39/MAX(1,'📦 Product Input'!S39))*'📦 Product Input'!V39,'📦 Product Input'!V39/12),0),0)</f>
        <v>101</v>
      </c>
      <c r="E37" s="63" t="n">
        <f aca="false">IFERROR(ROUND(IF('📦 Product Input'!R39=1,('📦 Product Input'!F39/MAX(1,'📦 Product Input'!S39))*'📦 Product Input'!V39,'📦 Product Input'!V39/12),0),0)</f>
        <v>101</v>
      </c>
      <c r="F37" s="63" t="n">
        <f aca="false">IFERROR(ROUND(IF('📦 Product Input'!R39=1,('📦 Product Input'!G39/MAX(1,'📦 Product Input'!S39))*'📦 Product Input'!V39,'📦 Product Input'!V39/12),0),0)</f>
        <v>101</v>
      </c>
      <c r="G37" s="63" t="n">
        <f aca="false">IFERROR(ROUND(IF('📦 Product Input'!R39=1,('📦 Product Input'!H39/MAX(1,'📦 Product Input'!S39))*'📦 Product Input'!V39,'📦 Product Input'!V39/12),0),0)</f>
        <v>101</v>
      </c>
      <c r="H37" s="63" t="n">
        <f aca="false">IFERROR(ROUND(IF('📦 Product Input'!R39=1,('📦 Product Input'!I39/MAX(1,'📦 Product Input'!S39))*'📦 Product Input'!V39,'📦 Product Input'!V39/12),0),0)</f>
        <v>101</v>
      </c>
      <c r="I37" s="63" t="n">
        <f aca="false">IFERROR(ROUND(IF('📦 Product Input'!R39=1,('📦 Product Input'!J39/MAX(1,'📦 Product Input'!S39))*'📦 Product Input'!V39,'📦 Product Input'!V39/12),0),0)</f>
        <v>101</v>
      </c>
      <c r="J37" s="63" t="n">
        <f aca="false">IFERROR(ROUND(IF('📦 Product Input'!R39=1,('📦 Product Input'!K39/MAX(1,'📦 Product Input'!S39))*'📦 Product Input'!V39,'📦 Product Input'!V39/12),0),0)</f>
        <v>101</v>
      </c>
      <c r="K37" s="63" t="n">
        <f aca="false">IFERROR(ROUND(IF('📦 Product Input'!R39=1,('📦 Product Input'!L39/MAX(1,'📦 Product Input'!S39))*'📦 Product Input'!V39,'📦 Product Input'!V39/12),0),0)</f>
        <v>101</v>
      </c>
      <c r="L37" s="63" t="n">
        <f aca="false">IFERROR(ROUND(IF('📦 Product Input'!R39=1,('📦 Product Input'!M39/MAX(1,'📦 Product Input'!S39))*'📦 Product Input'!V39,'📦 Product Input'!V39/12),0),0)</f>
        <v>101</v>
      </c>
      <c r="M37" s="63" t="n">
        <f aca="false">IFERROR(ROUND(IF('📦 Product Input'!R39=1,('📦 Product Input'!N39/MAX(1,'📦 Product Input'!S39))*'📦 Product Input'!V39,'📦 Product Input'!V39/12),0),0)</f>
        <v>101</v>
      </c>
      <c r="N37" s="64" t="n">
        <f aca="false">SUM(B37:M37)</f>
        <v>1212</v>
      </c>
      <c r="O37" s="64" t="n">
        <f aca="false">'📦 Product Input'!W39</f>
        <v>0</v>
      </c>
    </row>
    <row r="38" customFormat="false" ht="19.5" hidden="false" customHeight="true" outlineLevel="0" collapsed="false">
      <c r="A38" s="62" t="str">
        <f aca="false">'📦 Product Input'!A40</f>
        <v>Product 35</v>
      </c>
      <c r="B38" s="63" t="n">
        <f aca="false">IFERROR(ROUND(IF('📦 Product Input'!R40=1,('📦 Product Input'!C40/MAX(1,'📦 Product Input'!S40))*'📦 Product Input'!V40,'📦 Product Input'!V40/12),0),0)</f>
        <v>101</v>
      </c>
      <c r="C38" s="63" t="n">
        <f aca="false">IFERROR(ROUND(IF('📦 Product Input'!R40=1,('📦 Product Input'!D40/MAX(1,'📦 Product Input'!S40))*'📦 Product Input'!V40,'📦 Product Input'!V40/12),0),0)</f>
        <v>101</v>
      </c>
      <c r="D38" s="63" t="n">
        <f aca="false">IFERROR(ROUND(IF('📦 Product Input'!R40=1,('📦 Product Input'!E40/MAX(1,'📦 Product Input'!S40))*'📦 Product Input'!V40,'📦 Product Input'!V40/12),0),0)</f>
        <v>101</v>
      </c>
      <c r="E38" s="63" t="n">
        <f aca="false">IFERROR(ROUND(IF('📦 Product Input'!R40=1,('📦 Product Input'!F40/MAX(1,'📦 Product Input'!S40))*'📦 Product Input'!V40,'📦 Product Input'!V40/12),0),0)</f>
        <v>101</v>
      </c>
      <c r="F38" s="63" t="n">
        <f aca="false">IFERROR(ROUND(IF('📦 Product Input'!R40=1,('📦 Product Input'!G40/MAX(1,'📦 Product Input'!S40))*'📦 Product Input'!V40,'📦 Product Input'!V40/12),0),0)</f>
        <v>101</v>
      </c>
      <c r="G38" s="63" t="n">
        <f aca="false">IFERROR(ROUND(IF('📦 Product Input'!R40=1,('📦 Product Input'!H40/MAX(1,'📦 Product Input'!S40))*'📦 Product Input'!V40,'📦 Product Input'!V40/12),0),0)</f>
        <v>101</v>
      </c>
      <c r="H38" s="63" t="n">
        <f aca="false">IFERROR(ROUND(IF('📦 Product Input'!R40=1,('📦 Product Input'!I40/MAX(1,'📦 Product Input'!S40))*'📦 Product Input'!V40,'📦 Product Input'!V40/12),0),0)</f>
        <v>101</v>
      </c>
      <c r="I38" s="63" t="n">
        <f aca="false">IFERROR(ROUND(IF('📦 Product Input'!R40=1,('📦 Product Input'!J40/MAX(1,'📦 Product Input'!S40))*'📦 Product Input'!V40,'📦 Product Input'!V40/12),0),0)</f>
        <v>101</v>
      </c>
      <c r="J38" s="63" t="n">
        <f aca="false">IFERROR(ROUND(IF('📦 Product Input'!R40=1,('📦 Product Input'!K40/MAX(1,'📦 Product Input'!S40))*'📦 Product Input'!V40,'📦 Product Input'!V40/12),0),0)</f>
        <v>101</v>
      </c>
      <c r="K38" s="63" t="n">
        <f aca="false">IFERROR(ROUND(IF('📦 Product Input'!R40=1,('📦 Product Input'!L40/MAX(1,'📦 Product Input'!S40))*'📦 Product Input'!V40,'📦 Product Input'!V40/12),0),0)</f>
        <v>101</v>
      </c>
      <c r="L38" s="63" t="n">
        <f aca="false">IFERROR(ROUND(IF('📦 Product Input'!R40=1,('📦 Product Input'!M40/MAX(1,'📦 Product Input'!S40))*'📦 Product Input'!V40,'📦 Product Input'!V40/12),0),0)</f>
        <v>101</v>
      </c>
      <c r="M38" s="63" t="n">
        <f aca="false">IFERROR(ROUND(IF('📦 Product Input'!R40=1,('📦 Product Input'!N40/MAX(1,'📦 Product Input'!S40))*'📦 Product Input'!V40,'📦 Product Input'!V40/12),0),0)</f>
        <v>101</v>
      </c>
      <c r="N38" s="64" t="n">
        <f aca="false">SUM(B38:M38)</f>
        <v>1212</v>
      </c>
      <c r="O38" s="64" t="n">
        <f aca="false">'📦 Product Input'!W40</f>
        <v>0</v>
      </c>
    </row>
    <row r="39" customFormat="false" ht="19.5" hidden="false" customHeight="true" outlineLevel="0" collapsed="false">
      <c r="A39" s="62" t="str">
        <f aca="false">'📦 Product Input'!A41</f>
        <v>Product 36</v>
      </c>
      <c r="B39" s="63" t="n">
        <f aca="false">IFERROR(ROUND(IF('📦 Product Input'!R41=1,('📦 Product Input'!C41/MAX(1,'📦 Product Input'!S41))*'📦 Product Input'!V41,'📦 Product Input'!V41/12),0),0)</f>
        <v>101</v>
      </c>
      <c r="C39" s="63" t="n">
        <f aca="false">IFERROR(ROUND(IF('📦 Product Input'!R41=1,('📦 Product Input'!D41/MAX(1,'📦 Product Input'!S41))*'📦 Product Input'!V41,'📦 Product Input'!V41/12),0),0)</f>
        <v>101</v>
      </c>
      <c r="D39" s="63" t="n">
        <f aca="false">IFERROR(ROUND(IF('📦 Product Input'!R41=1,('📦 Product Input'!E41/MAX(1,'📦 Product Input'!S41))*'📦 Product Input'!V41,'📦 Product Input'!V41/12),0),0)</f>
        <v>101</v>
      </c>
      <c r="E39" s="63" t="n">
        <f aca="false">IFERROR(ROUND(IF('📦 Product Input'!R41=1,('📦 Product Input'!F41/MAX(1,'📦 Product Input'!S41))*'📦 Product Input'!V41,'📦 Product Input'!V41/12),0),0)</f>
        <v>101</v>
      </c>
      <c r="F39" s="63" t="n">
        <f aca="false">IFERROR(ROUND(IF('📦 Product Input'!R41=1,('📦 Product Input'!G41/MAX(1,'📦 Product Input'!S41))*'📦 Product Input'!V41,'📦 Product Input'!V41/12),0),0)</f>
        <v>101</v>
      </c>
      <c r="G39" s="63" t="n">
        <f aca="false">IFERROR(ROUND(IF('📦 Product Input'!R41=1,('📦 Product Input'!H41/MAX(1,'📦 Product Input'!S41))*'📦 Product Input'!V41,'📦 Product Input'!V41/12),0),0)</f>
        <v>101</v>
      </c>
      <c r="H39" s="63" t="n">
        <f aca="false">IFERROR(ROUND(IF('📦 Product Input'!R41=1,('📦 Product Input'!I41/MAX(1,'📦 Product Input'!S41))*'📦 Product Input'!V41,'📦 Product Input'!V41/12),0),0)</f>
        <v>101</v>
      </c>
      <c r="I39" s="63" t="n">
        <f aca="false">IFERROR(ROUND(IF('📦 Product Input'!R41=1,('📦 Product Input'!J41/MAX(1,'📦 Product Input'!S41))*'📦 Product Input'!V41,'📦 Product Input'!V41/12),0),0)</f>
        <v>101</v>
      </c>
      <c r="J39" s="63" t="n">
        <f aca="false">IFERROR(ROUND(IF('📦 Product Input'!R41=1,('📦 Product Input'!K41/MAX(1,'📦 Product Input'!S41))*'📦 Product Input'!V41,'📦 Product Input'!V41/12),0),0)</f>
        <v>101</v>
      </c>
      <c r="K39" s="63" t="n">
        <f aca="false">IFERROR(ROUND(IF('📦 Product Input'!R41=1,('📦 Product Input'!L41/MAX(1,'📦 Product Input'!S41))*'📦 Product Input'!V41,'📦 Product Input'!V41/12),0),0)</f>
        <v>101</v>
      </c>
      <c r="L39" s="63" t="n">
        <f aca="false">IFERROR(ROUND(IF('📦 Product Input'!R41=1,('📦 Product Input'!M41/MAX(1,'📦 Product Input'!S41))*'📦 Product Input'!V41,'📦 Product Input'!V41/12),0),0)</f>
        <v>101</v>
      </c>
      <c r="M39" s="63" t="n">
        <f aca="false">IFERROR(ROUND(IF('📦 Product Input'!R41=1,('📦 Product Input'!N41/MAX(1,'📦 Product Input'!S41))*'📦 Product Input'!V41,'📦 Product Input'!V41/12),0),0)</f>
        <v>101</v>
      </c>
      <c r="N39" s="64" t="n">
        <f aca="false">SUM(B39:M39)</f>
        <v>1212</v>
      </c>
      <c r="O39" s="64" t="n">
        <f aca="false">'📦 Product Input'!W41</f>
        <v>0</v>
      </c>
    </row>
    <row r="40" customFormat="false" ht="19.5" hidden="false" customHeight="true" outlineLevel="0" collapsed="false">
      <c r="A40" s="62" t="str">
        <f aca="false">'📦 Product Input'!A42</f>
        <v>Product 37</v>
      </c>
      <c r="B40" s="63" t="n">
        <f aca="false">IFERROR(ROUND(IF('📦 Product Input'!R42=1,('📦 Product Input'!C42/MAX(1,'📦 Product Input'!S42))*'📦 Product Input'!V42,'📦 Product Input'!V42/12),0),0)</f>
        <v>101</v>
      </c>
      <c r="C40" s="63" t="n">
        <f aca="false">IFERROR(ROUND(IF('📦 Product Input'!R42=1,('📦 Product Input'!D42/MAX(1,'📦 Product Input'!S42))*'📦 Product Input'!V42,'📦 Product Input'!V42/12),0),0)</f>
        <v>101</v>
      </c>
      <c r="D40" s="63" t="n">
        <f aca="false">IFERROR(ROUND(IF('📦 Product Input'!R42=1,('📦 Product Input'!E42/MAX(1,'📦 Product Input'!S42))*'📦 Product Input'!V42,'📦 Product Input'!V42/12),0),0)</f>
        <v>101</v>
      </c>
      <c r="E40" s="63" t="n">
        <f aca="false">IFERROR(ROUND(IF('📦 Product Input'!R42=1,('📦 Product Input'!F42/MAX(1,'📦 Product Input'!S42))*'📦 Product Input'!V42,'📦 Product Input'!V42/12),0),0)</f>
        <v>101</v>
      </c>
      <c r="F40" s="63" t="n">
        <f aca="false">IFERROR(ROUND(IF('📦 Product Input'!R42=1,('📦 Product Input'!G42/MAX(1,'📦 Product Input'!S42))*'📦 Product Input'!V42,'📦 Product Input'!V42/12),0),0)</f>
        <v>101</v>
      </c>
      <c r="G40" s="63" t="n">
        <f aca="false">IFERROR(ROUND(IF('📦 Product Input'!R42=1,('📦 Product Input'!H42/MAX(1,'📦 Product Input'!S42))*'📦 Product Input'!V42,'📦 Product Input'!V42/12),0),0)</f>
        <v>101</v>
      </c>
      <c r="H40" s="63" t="n">
        <f aca="false">IFERROR(ROUND(IF('📦 Product Input'!R42=1,('📦 Product Input'!I42/MAX(1,'📦 Product Input'!S42))*'📦 Product Input'!V42,'📦 Product Input'!V42/12),0),0)</f>
        <v>101</v>
      </c>
      <c r="I40" s="63" t="n">
        <f aca="false">IFERROR(ROUND(IF('📦 Product Input'!R42=1,('📦 Product Input'!J42/MAX(1,'📦 Product Input'!S42))*'📦 Product Input'!V42,'📦 Product Input'!V42/12),0),0)</f>
        <v>101</v>
      </c>
      <c r="J40" s="63" t="n">
        <f aca="false">IFERROR(ROUND(IF('📦 Product Input'!R42=1,('📦 Product Input'!K42/MAX(1,'📦 Product Input'!S42))*'📦 Product Input'!V42,'📦 Product Input'!V42/12),0),0)</f>
        <v>101</v>
      </c>
      <c r="K40" s="63" t="n">
        <f aca="false">IFERROR(ROUND(IF('📦 Product Input'!R42=1,('📦 Product Input'!L42/MAX(1,'📦 Product Input'!S42))*'📦 Product Input'!V42,'📦 Product Input'!V42/12),0),0)</f>
        <v>101</v>
      </c>
      <c r="L40" s="63" t="n">
        <f aca="false">IFERROR(ROUND(IF('📦 Product Input'!R42=1,('📦 Product Input'!M42/MAX(1,'📦 Product Input'!S42))*'📦 Product Input'!V42,'📦 Product Input'!V42/12),0),0)</f>
        <v>101</v>
      </c>
      <c r="M40" s="63" t="n">
        <f aca="false">IFERROR(ROUND(IF('📦 Product Input'!R42=1,('📦 Product Input'!N42/MAX(1,'📦 Product Input'!S42))*'📦 Product Input'!V42,'📦 Product Input'!V42/12),0),0)</f>
        <v>101</v>
      </c>
      <c r="N40" s="64" t="n">
        <f aca="false">SUM(B40:M40)</f>
        <v>1212</v>
      </c>
      <c r="O40" s="64" t="n">
        <f aca="false">'📦 Product Input'!W42</f>
        <v>0</v>
      </c>
    </row>
    <row r="41" customFormat="false" ht="19.5" hidden="false" customHeight="true" outlineLevel="0" collapsed="false">
      <c r="A41" s="62" t="str">
        <f aca="false">'📦 Product Input'!A43</f>
        <v>Product 38</v>
      </c>
      <c r="B41" s="63" t="n">
        <f aca="false">IFERROR(ROUND(IF('📦 Product Input'!R43=1,('📦 Product Input'!C43/MAX(1,'📦 Product Input'!S43))*'📦 Product Input'!V43,'📦 Product Input'!V43/12),0),0)</f>
        <v>101</v>
      </c>
      <c r="C41" s="63" t="n">
        <f aca="false">IFERROR(ROUND(IF('📦 Product Input'!R43=1,('📦 Product Input'!D43/MAX(1,'📦 Product Input'!S43))*'📦 Product Input'!V43,'📦 Product Input'!V43/12),0),0)</f>
        <v>101</v>
      </c>
      <c r="D41" s="63" t="n">
        <f aca="false">IFERROR(ROUND(IF('📦 Product Input'!R43=1,('📦 Product Input'!E43/MAX(1,'📦 Product Input'!S43))*'📦 Product Input'!V43,'📦 Product Input'!V43/12),0),0)</f>
        <v>101</v>
      </c>
      <c r="E41" s="63" t="n">
        <f aca="false">IFERROR(ROUND(IF('📦 Product Input'!R43=1,('📦 Product Input'!F43/MAX(1,'📦 Product Input'!S43))*'📦 Product Input'!V43,'📦 Product Input'!V43/12),0),0)</f>
        <v>101</v>
      </c>
      <c r="F41" s="63" t="n">
        <f aca="false">IFERROR(ROUND(IF('📦 Product Input'!R43=1,('📦 Product Input'!G43/MAX(1,'📦 Product Input'!S43))*'📦 Product Input'!V43,'📦 Product Input'!V43/12),0),0)</f>
        <v>101</v>
      </c>
      <c r="G41" s="63" t="n">
        <f aca="false">IFERROR(ROUND(IF('📦 Product Input'!R43=1,('📦 Product Input'!H43/MAX(1,'📦 Product Input'!S43))*'📦 Product Input'!V43,'📦 Product Input'!V43/12),0),0)</f>
        <v>101</v>
      </c>
      <c r="H41" s="63" t="n">
        <f aca="false">IFERROR(ROUND(IF('📦 Product Input'!R43=1,('📦 Product Input'!I43/MAX(1,'📦 Product Input'!S43))*'📦 Product Input'!V43,'📦 Product Input'!V43/12),0),0)</f>
        <v>101</v>
      </c>
      <c r="I41" s="63" t="n">
        <f aca="false">IFERROR(ROUND(IF('📦 Product Input'!R43=1,('📦 Product Input'!J43/MAX(1,'📦 Product Input'!S43))*'📦 Product Input'!V43,'📦 Product Input'!V43/12),0),0)</f>
        <v>101</v>
      </c>
      <c r="J41" s="63" t="n">
        <f aca="false">IFERROR(ROUND(IF('📦 Product Input'!R43=1,('📦 Product Input'!K43/MAX(1,'📦 Product Input'!S43))*'📦 Product Input'!V43,'📦 Product Input'!V43/12),0),0)</f>
        <v>101</v>
      </c>
      <c r="K41" s="63" t="n">
        <f aca="false">IFERROR(ROUND(IF('📦 Product Input'!R43=1,('📦 Product Input'!L43/MAX(1,'📦 Product Input'!S43))*'📦 Product Input'!V43,'📦 Product Input'!V43/12),0),0)</f>
        <v>101</v>
      </c>
      <c r="L41" s="63" t="n">
        <f aca="false">IFERROR(ROUND(IF('📦 Product Input'!R43=1,('📦 Product Input'!M43/MAX(1,'📦 Product Input'!S43))*'📦 Product Input'!V43,'📦 Product Input'!V43/12),0),0)</f>
        <v>101</v>
      </c>
      <c r="M41" s="63" t="n">
        <f aca="false">IFERROR(ROUND(IF('📦 Product Input'!R43=1,('📦 Product Input'!N43/MAX(1,'📦 Product Input'!S43))*'📦 Product Input'!V43,'📦 Product Input'!V43/12),0),0)</f>
        <v>101</v>
      </c>
      <c r="N41" s="64" t="n">
        <f aca="false">SUM(B41:M41)</f>
        <v>1212</v>
      </c>
      <c r="O41" s="64" t="n">
        <f aca="false">'📦 Product Input'!W43</f>
        <v>0</v>
      </c>
    </row>
    <row r="42" customFormat="false" ht="19.5" hidden="false" customHeight="true" outlineLevel="0" collapsed="false">
      <c r="A42" s="62" t="str">
        <f aca="false">'📦 Product Input'!A44</f>
        <v>Product 39</v>
      </c>
      <c r="B42" s="63" t="n">
        <f aca="false">IFERROR(ROUND(IF('📦 Product Input'!R44=1,('📦 Product Input'!C44/MAX(1,'📦 Product Input'!S44))*'📦 Product Input'!V44,'📦 Product Input'!V44/12),0),0)</f>
        <v>101</v>
      </c>
      <c r="C42" s="63" t="n">
        <f aca="false">IFERROR(ROUND(IF('📦 Product Input'!R44=1,('📦 Product Input'!D44/MAX(1,'📦 Product Input'!S44))*'📦 Product Input'!V44,'📦 Product Input'!V44/12),0),0)</f>
        <v>101</v>
      </c>
      <c r="D42" s="63" t="n">
        <f aca="false">IFERROR(ROUND(IF('📦 Product Input'!R44=1,('📦 Product Input'!E44/MAX(1,'📦 Product Input'!S44))*'📦 Product Input'!V44,'📦 Product Input'!V44/12),0),0)</f>
        <v>101</v>
      </c>
      <c r="E42" s="63" t="n">
        <f aca="false">IFERROR(ROUND(IF('📦 Product Input'!R44=1,('📦 Product Input'!F44/MAX(1,'📦 Product Input'!S44))*'📦 Product Input'!V44,'📦 Product Input'!V44/12),0),0)</f>
        <v>101</v>
      </c>
      <c r="F42" s="63" t="n">
        <f aca="false">IFERROR(ROUND(IF('📦 Product Input'!R44=1,('📦 Product Input'!G44/MAX(1,'📦 Product Input'!S44))*'📦 Product Input'!V44,'📦 Product Input'!V44/12),0),0)</f>
        <v>101</v>
      </c>
      <c r="G42" s="63" t="n">
        <f aca="false">IFERROR(ROUND(IF('📦 Product Input'!R44=1,('📦 Product Input'!H44/MAX(1,'📦 Product Input'!S44))*'📦 Product Input'!V44,'📦 Product Input'!V44/12),0),0)</f>
        <v>101</v>
      </c>
      <c r="H42" s="63" t="n">
        <f aca="false">IFERROR(ROUND(IF('📦 Product Input'!R44=1,('📦 Product Input'!I44/MAX(1,'📦 Product Input'!S44))*'📦 Product Input'!V44,'📦 Product Input'!V44/12),0),0)</f>
        <v>101</v>
      </c>
      <c r="I42" s="63" t="n">
        <f aca="false">IFERROR(ROUND(IF('📦 Product Input'!R44=1,('📦 Product Input'!J44/MAX(1,'📦 Product Input'!S44))*'📦 Product Input'!V44,'📦 Product Input'!V44/12),0),0)</f>
        <v>101</v>
      </c>
      <c r="J42" s="63" t="n">
        <f aca="false">IFERROR(ROUND(IF('📦 Product Input'!R44=1,('📦 Product Input'!K44/MAX(1,'📦 Product Input'!S44))*'📦 Product Input'!V44,'📦 Product Input'!V44/12),0),0)</f>
        <v>101</v>
      </c>
      <c r="K42" s="63" t="n">
        <f aca="false">IFERROR(ROUND(IF('📦 Product Input'!R44=1,('📦 Product Input'!L44/MAX(1,'📦 Product Input'!S44))*'📦 Product Input'!V44,'📦 Product Input'!V44/12),0),0)</f>
        <v>101</v>
      </c>
      <c r="L42" s="63" t="n">
        <f aca="false">IFERROR(ROUND(IF('📦 Product Input'!R44=1,('📦 Product Input'!M44/MAX(1,'📦 Product Input'!S44))*'📦 Product Input'!V44,'📦 Product Input'!V44/12),0),0)</f>
        <v>101</v>
      </c>
      <c r="M42" s="63" t="n">
        <f aca="false">IFERROR(ROUND(IF('📦 Product Input'!R44=1,('📦 Product Input'!N44/MAX(1,'📦 Product Input'!S44))*'📦 Product Input'!V44,'📦 Product Input'!V44/12),0),0)</f>
        <v>101</v>
      </c>
      <c r="N42" s="64" t="n">
        <f aca="false">SUM(B42:M42)</f>
        <v>1212</v>
      </c>
      <c r="O42" s="64" t="n">
        <f aca="false">'📦 Product Input'!W44</f>
        <v>0</v>
      </c>
    </row>
    <row r="43" customFormat="false" ht="19.5" hidden="false" customHeight="true" outlineLevel="0" collapsed="false">
      <c r="A43" s="62" t="str">
        <f aca="false">'📦 Product Input'!A45</f>
        <v>Product 40</v>
      </c>
      <c r="B43" s="63" t="n">
        <f aca="false">IFERROR(ROUND(IF('📦 Product Input'!R45=1,('📦 Product Input'!C45/MAX(1,'📦 Product Input'!S45))*'📦 Product Input'!V45,'📦 Product Input'!V45/12),0),0)</f>
        <v>101</v>
      </c>
      <c r="C43" s="63" t="n">
        <f aca="false">IFERROR(ROUND(IF('📦 Product Input'!R45=1,('📦 Product Input'!D45/MAX(1,'📦 Product Input'!S45))*'📦 Product Input'!V45,'📦 Product Input'!V45/12),0),0)</f>
        <v>101</v>
      </c>
      <c r="D43" s="63" t="n">
        <f aca="false">IFERROR(ROUND(IF('📦 Product Input'!R45=1,('📦 Product Input'!E45/MAX(1,'📦 Product Input'!S45))*'📦 Product Input'!V45,'📦 Product Input'!V45/12),0),0)</f>
        <v>101</v>
      </c>
      <c r="E43" s="63" t="n">
        <f aca="false">IFERROR(ROUND(IF('📦 Product Input'!R45=1,('📦 Product Input'!F45/MAX(1,'📦 Product Input'!S45))*'📦 Product Input'!V45,'📦 Product Input'!V45/12),0),0)</f>
        <v>101</v>
      </c>
      <c r="F43" s="63" t="n">
        <f aca="false">IFERROR(ROUND(IF('📦 Product Input'!R45=1,('📦 Product Input'!G45/MAX(1,'📦 Product Input'!S45))*'📦 Product Input'!V45,'📦 Product Input'!V45/12),0),0)</f>
        <v>101</v>
      </c>
      <c r="G43" s="63" t="n">
        <f aca="false">IFERROR(ROUND(IF('📦 Product Input'!R45=1,('📦 Product Input'!H45/MAX(1,'📦 Product Input'!S45))*'📦 Product Input'!V45,'📦 Product Input'!V45/12),0),0)</f>
        <v>101</v>
      </c>
      <c r="H43" s="63" t="n">
        <f aca="false">IFERROR(ROUND(IF('📦 Product Input'!R45=1,('📦 Product Input'!I45/MAX(1,'📦 Product Input'!S45))*'📦 Product Input'!V45,'📦 Product Input'!V45/12),0),0)</f>
        <v>101</v>
      </c>
      <c r="I43" s="63" t="n">
        <f aca="false">IFERROR(ROUND(IF('📦 Product Input'!R45=1,('📦 Product Input'!J45/MAX(1,'📦 Product Input'!S45))*'📦 Product Input'!V45,'📦 Product Input'!V45/12),0),0)</f>
        <v>101</v>
      </c>
      <c r="J43" s="63" t="n">
        <f aca="false">IFERROR(ROUND(IF('📦 Product Input'!R45=1,('📦 Product Input'!K45/MAX(1,'📦 Product Input'!S45))*'📦 Product Input'!V45,'📦 Product Input'!V45/12),0),0)</f>
        <v>101</v>
      </c>
      <c r="K43" s="63" t="n">
        <f aca="false">IFERROR(ROUND(IF('📦 Product Input'!R45=1,('📦 Product Input'!L45/MAX(1,'📦 Product Input'!S45))*'📦 Product Input'!V45,'📦 Product Input'!V45/12),0),0)</f>
        <v>101</v>
      </c>
      <c r="L43" s="63" t="n">
        <f aca="false">IFERROR(ROUND(IF('📦 Product Input'!R45=1,('📦 Product Input'!M45/MAX(1,'📦 Product Input'!S45))*'📦 Product Input'!V45,'📦 Product Input'!V45/12),0),0)</f>
        <v>101</v>
      </c>
      <c r="M43" s="63" t="n">
        <f aca="false">IFERROR(ROUND(IF('📦 Product Input'!R45=1,('📦 Product Input'!N45/MAX(1,'📦 Product Input'!S45))*'📦 Product Input'!V45,'📦 Product Input'!V45/12),0),0)</f>
        <v>101</v>
      </c>
      <c r="N43" s="64" t="n">
        <f aca="false">SUM(B43:M43)</f>
        <v>1212</v>
      </c>
      <c r="O43" s="64" t="n">
        <f aca="false">'📦 Product Input'!W45</f>
        <v>0</v>
      </c>
    </row>
    <row r="44" customFormat="false" ht="19.5" hidden="false" customHeight="true" outlineLevel="0" collapsed="false">
      <c r="A44" s="62" t="str">
        <f aca="false">'📦 Product Input'!A46</f>
        <v>Product 41</v>
      </c>
      <c r="B44" s="63" t="n">
        <f aca="false">IFERROR(ROUND(IF('📦 Product Input'!R46=1,('📦 Product Input'!C46/MAX(1,'📦 Product Input'!S46))*'📦 Product Input'!V46,'📦 Product Input'!V46/12),0),0)</f>
        <v>101</v>
      </c>
      <c r="C44" s="63" t="n">
        <f aca="false">IFERROR(ROUND(IF('📦 Product Input'!R46=1,('📦 Product Input'!D46/MAX(1,'📦 Product Input'!S46))*'📦 Product Input'!V46,'📦 Product Input'!V46/12),0),0)</f>
        <v>101</v>
      </c>
      <c r="D44" s="63" t="n">
        <f aca="false">IFERROR(ROUND(IF('📦 Product Input'!R46=1,('📦 Product Input'!E46/MAX(1,'📦 Product Input'!S46))*'📦 Product Input'!V46,'📦 Product Input'!V46/12),0),0)</f>
        <v>101</v>
      </c>
      <c r="E44" s="63" t="n">
        <f aca="false">IFERROR(ROUND(IF('📦 Product Input'!R46=1,('📦 Product Input'!F46/MAX(1,'📦 Product Input'!S46))*'📦 Product Input'!V46,'📦 Product Input'!V46/12),0),0)</f>
        <v>101</v>
      </c>
      <c r="F44" s="63" t="n">
        <f aca="false">IFERROR(ROUND(IF('📦 Product Input'!R46=1,('📦 Product Input'!G46/MAX(1,'📦 Product Input'!S46))*'📦 Product Input'!V46,'📦 Product Input'!V46/12),0),0)</f>
        <v>101</v>
      </c>
      <c r="G44" s="63" t="n">
        <f aca="false">IFERROR(ROUND(IF('📦 Product Input'!R46=1,('📦 Product Input'!H46/MAX(1,'📦 Product Input'!S46))*'📦 Product Input'!V46,'📦 Product Input'!V46/12),0),0)</f>
        <v>101</v>
      </c>
      <c r="H44" s="63" t="n">
        <f aca="false">IFERROR(ROUND(IF('📦 Product Input'!R46=1,('📦 Product Input'!I46/MAX(1,'📦 Product Input'!S46))*'📦 Product Input'!V46,'📦 Product Input'!V46/12),0),0)</f>
        <v>101</v>
      </c>
      <c r="I44" s="63" t="n">
        <f aca="false">IFERROR(ROUND(IF('📦 Product Input'!R46=1,('📦 Product Input'!J46/MAX(1,'📦 Product Input'!S46))*'📦 Product Input'!V46,'📦 Product Input'!V46/12),0),0)</f>
        <v>101</v>
      </c>
      <c r="J44" s="63" t="n">
        <f aca="false">IFERROR(ROUND(IF('📦 Product Input'!R46=1,('📦 Product Input'!K46/MAX(1,'📦 Product Input'!S46))*'📦 Product Input'!V46,'📦 Product Input'!V46/12),0),0)</f>
        <v>101</v>
      </c>
      <c r="K44" s="63" t="n">
        <f aca="false">IFERROR(ROUND(IF('📦 Product Input'!R46=1,('📦 Product Input'!L46/MAX(1,'📦 Product Input'!S46))*'📦 Product Input'!V46,'📦 Product Input'!V46/12),0),0)</f>
        <v>101</v>
      </c>
      <c r="L44" s="63" t="n">
        <f aca="false">IFERROR(ROUND(IF('📦 Product Input'!R46=1,('📦 Product Input'!M46/MAX(1,'📦 Product Input'!S46))*'📦 Product Input'!V46,'📦 Product Input'!V46/12),0),0)</f>
        <v>101</v>
      </c>
      <c r="M44" s="63" t="n">
        <f aca="false">IFERROR(ROUND(IF('📦 Product Input'!R46=1,('📦 Product Input'!N46/MAX(1,'📦 Product Input'!S46))*'📦 Product Input'!V46,'📦 Product Input'!V46/12),0),0)</f>
        <v>101</v>
      </c>
      <c r="N44" s="64" t="n">
        <f aca="false">SUM(B44:M44)</f>
        <v>1212</v>
      </c>
      <c r="O44" s="64" t="n">
        <f aca="false">'📦 Product Input'!W46</f>
        <v>0</v>
      </c>
    </row>
    <row r="45" customFormat="false" ht="19.5" hidden="false" customHeight="true" outlineLevel="0" collapsed="false">
      <c r="A45" s="62" t="str">
        <f aca="false">'📦 Product Input'!A47</f>
        <v>Product 42</v>
      </c>
      <c r="B45" s="63" t="n">
        <f aca="false">IFERROR(ROUND(IF('📦 Product Input'!R47=1,('📦 Product Input'!C47/MAX(1,'📦 Product Input'!S47))*'📦 Product Input'!V47,'📦 Product Input'!V47/12),0),0)</f>
        <v>101</v>
      </c>
      <c r="C45" s="63" t="n">
        <f aca="false">IFERROR(ROUND(IF('📦 Product Input'!R47=1,('📦 Product Input'!D47/MAX(1,'📦 Product Input'!S47))*'📦 Product Input'!V47,'📦 Product Input'!V47/12),0),0)</f>
        <v>101</v>
      </c>
      <c r="D45" s="63" t="n">
        <f aca="false">IFERROR(ROUND(IF('📦 Product Input'!R47=1,('📦 Product Input'!E47/MAX(1,'📦 Product Input'!S47))*'📦 Product Input'!V47,'📦 Product Input'!V47/12),0),0)</f>
        <v>101</v>
      </c>
      <c r="E45" s="63" t="n">
        <f aca="false">IFERROR(ROUND(IF('📦 Product Input'!R47=1,('📦 Product Input'!F47/MAX(1,'📦 Product Input'!S47))*'📦 Product Input'!V47,'📦 Product Input'!V47/12),0),0)</f>
        <v>101</v>
      </c>
      <c r="F45" s="63" t="n">
        <f aca="false">IFERROR(ROUND(IF('📦 Product Input'!R47=1,('📦 Product Input'!G47/MAX(1,'📦 Product Input'!S47))*'📦 Product Input'!V47,'📦 Product Input'!V47/12),0),0)</f>
        <v>101</v>
      </c>
      <c r="G45" s="63" t="n">
        <f aca="false">IFERROR(ROUND(IF('📦 Product Input'!R47=1,('📦 Product Input'!H47/MAX(1,'📦 Product Input'!S47))*'📦 Product Input'!V47,'📦 Product Input'!V47/12),0),0)</f>
        <v>101</v>
      </c>
      <c r="H45" s="63" t="n">
        <f aca="false">IFERROR(ROUND(IF('📦 Product Input'!R47=1,('📦 Product Input'!I47/MAX(1,'📦 Product Input'!S47))*'📦 Product Input'!V47,'📦 Product Input'!V47/12),0),0)</f>
        <v>101</v>
      </c>
      <c r="I45" s="63" t="n">
        <f aca="false">IFERROR(ROUND(IF('📦 Product Input'!R47=1,('📦 Product Input'!J47/MAX(1,'📦 Product Input'!S47))*'📦 Product Input'!V47,'📦 Product Input'!V47/12),0),0)</f>
        <v>101</v>
      </c>
      <c r="J45" s="63" t="n">
        <f aca="false">IFERROR(ROUND(IF('📦 Product Input'!R47=1,('📦 Product Input'!K47/MAX(1,'📦 Product Input'!S47))*'📦 Product Input'!V47,'📦 Product Input'!V47/12),0),0)</f>
        <v>101</v>
      </c>
      <c r="K45" s="63" t="n">
        <f aca="false">IFERROR(ROUND(IF('📦 Product Input'!R47=1,('📦 Product Input'!L47/MAX(1,'📦 Product Input'!S47))*'📦 Product Input'!V47,'📦 Product Input'!V47/12),0),0)</f>
        <v>101</v>
      </c>
      <c r="L45" s="63" t="n">
        <f aca="false">IFERROR(ROUND(IF('📦 Product Input'!R47=1,('📦 Product Input'!M47/MAX(1,'📦 Product Input'!S47))*'📦 Product Input'!V47,'📦 Product Input'!V47/12),0),0)</f>
        <v>101</v>
      </c>
      <c r="M45" s="63" t="n">
        <f aca="false">IFERROR(ROUND(IF('📦 Product Input'!R47=1,('📦 Product Input'!N47/MAX(1,'📦 Product Input'!S47))*'📦 Product Input'!V47,'📦 Product Input'!V47/12),0),0)</f>
        <v>101</v>
      </c>
      <c r="N45" s="64" t="n">
        <f aca="false">SUM(B45:M45)</f>
        <v>1212</v>
      </c>
      <c r="O45" s="64" t="n">
        <f aca="false">'📦 Product Input'!W47</f>
        <v>0</v>
      </c>
    </row>
    <row r="46" customFormat="false" ht="19.5" hidden="false" customHeight="true" outlineLevel="0" collapsed="false">
      <c r="A46" s="62" t="str">
        <f aca="false">'📦 Product Input'!A48</f>
        <v>Product 43</v>
      </c>
      <c r="B46" s="63" t="n">
        <f aca="false">IFERROR(ROUND(IF('📦 Product Input'!R48=1,('📦 Product Input'!C48/MAX(1,'📦 Product Input'!S48))*'📦 Product Input'!V48,'📦 Product Input'!V48/12),0),0)</f>
        <v>101</v>
      </c>
      <c r="C46" s="63" t="n">
        <f aca="false">IFERROR(ROUND(IF('📦 Product Input'!R48=1,('📦 Product Input'!D48/MAX(1,'📦 Product Input'!S48))*'📦 Product Input'!V48,'📦 Product Input'!V48/12),0),0)</f>
        <v>101</v>
      </c>
      <c r="D46" s="63" t="n">
        <f aca="false">IFERROR(ROUND(IF('📦 Product Input'!R48=1,('📦 Product Input'!E48/MAX(1,'📦 Product Input'!S48))*'📦 Product Input'!V48,'📦 Product Input'!V48/12),0),0)</f>
        <v>101</v>
      </c>
      <c r="E46" s="63" t="n">
        <f aca="false">IFERROR(ROUND(IF('📦 Product Input'!R48=1,('📦 Product Input'!F48/MAX(1,'📦 Product Input'!S48))*'📦 Product Input'!V48,'📦 Product Input'!V48/12),0),0)</f>
        <v>101</v>
      </c>
      <c r="F46" s="63" t="n">
        <f aca="false">IFERROR(ROUND(IF('📦 Product Input'!R48=1,('📦 Product Input'!G48/MAX(1,'📦 Product Input'!S48))*'📦 Product Input'!V48,'📦 Product Input'!V48/12),0),0)</f>
        <v>101</v>
      </c>
      <c r="G46" s="63" t="n">
        <f aca="false">IFERROR(ROUND(IF('📦 Product Input'!R48=1,('📦 Product Input'!H48/MAX(1,'📦 Product Input'!S48))*'📦 Product Input'!V48,'📦 Product Input'!V48/12),0),0)</f>
        <v>101</v>
      </c>
      <c r="H46" s="63" t="n">
        <f aca="false">IFERROR(ROUND(IF('📦 Product Input'!R48=1,('📦 Product Input'!I48/MAX(1,'📦 Product Input'!S48))*'📦 Product Input'!V48,'📦 Product Input'!V48/12),0),0)</f>
        <v>101</v>
      </c>
      <c r="I46" s="63" t="n">
        <f aca="false">IFERROR(ROUND(IF('📦 Product Input'!R48=1,('📦 Product Input'!J48/MAX(1,'📦 Product Input'!S48))*'📦 Product Input'!V48,'📦 Product Input'!V48/12),0),0)</f>
        <v>101</v>
      </c>
      <c r="J46" s="63" t="n">
        <f aca="false">IFERROR(ROUND(IF('📦 Product Input'!R48=1,('📦 Product Input'!K48/MAX(1,'📦 Product Input'!S48))*'📦 Product Input'!V48,'📦 Product Input'!V48/12),0),0)</f>
        <v>101</v>
      </c>
      <c r="K46" s="63" t="n">
        <f aca="false">IFERROR(ROUND(IF('📦 Product Input'!R48=1,('📦 Product Input'!L48/MAX(1,'📦 Product Input'!S48))*'📦 Product Input'!V48,'📦 Product Input'!V48/12),0),0)</f>
        <v>101</v>
      </c>
      <c r="L46" s="63" t="n">
        <f aca="false">IFERROR(ROUND(IF('📦 Product Input'!R48=1,('📦 Product Input'!M48/MAX(1,'📦 Product Input'!S48))*'📦 Product Input'!V48,'📦 Product Input'!V48/12),0),0)</f>
        <v>101</v>
      </c>
      <c r="M46" s="63" t="n">
        <f aca="false">IFERROR(ROUND(IF('📦 Product Input'!R48=1,('📦 Product Input'!N48/MAX(1,'📦 Product Input'!S48))*'📦 Product Input'!V48,'📦 Product Input'!V48/12),0),0)</f>
        <v>101</v>
      </c>
      <c r="N46" s="64" t="n">
        <f aca="false">SUM(B46:M46)</f>
        <v>1212</v>
      </c>
      <c r="O46" s="64" t="n">
        <f aca="false">'📦 Product Input'!W48</f>
        <v>0</v>
      </c>
    </row>
    <row r="47" customFormat="false" ht="19.5" hidden="false" customHeight="true" outlineLevel="0" collapsed="false">
      <c r="A47" s="62" t="str">
        <f aca="false">'📦 Product Input'!A49</f>
        <v>Product 44</v>
      </c>
      <c r="B47" s="63" t="n">
        <f aca="false">IFERROR(ROUND(IF('📦 Product Input'!R49=1,('📦 Product Input'!C49/MAX(1,'📦 Product Input'!S49))*'📦 Product Input'!V49,'📦 Product Input'!V49/12),0),0)</f>
        <v>101</v>
      </c>
      <c r="C47" s="63" t="n">
        <f aca="false">IFERROR(ROUND(IF('📦 Product Input'!R49=1,('📦 Product Input'!D49/MAX(1,'📦 Product Input'!S49))*'📦 Product Input'!V49,'📦 Product Input'!V49/12),0),0)</f>
        <v>101</v>
      </c>
      <c r="D47" s="63" t="n">
        <f aca="false">IFERROR(ROUND(IF('📦 Product Input'!R49=1,('📦 Product Input'!E49/MAX(1,'📦 Product Input'!S49))*'📦 Product Input'!V49,'📦 Product Input'!V49/12),0),0)</f>
        <v>101</v>
      </c>
      <c r="E47" s="63" t="n">
        <f aca="false">IFERROR(ROUND(IF('📦 Product Input'!R49=1,('📦 Product Input'!F49/MAX(1,'📦 Product Input'!S49))*'📦 Product Input'!V49,'📦 Product Input'!V49/12),0),0)</f>
        <v>101</v>
      </c>
      <c r="F47" s="63" t="n">
        <f aca="false">IFERROR(ROUND(IF('📦 Product Input'!R49=1,('📦 Product Input'!G49/MAX(1,'📦 Product Input'!S49))*'📦 Product Input'!V49,'📦 Product Input'!V49/12),0),0)</f>
        <v>101</v>
      </c>
      <c r="G47" s="63" t="n">
        <f aca="false">IFERROR(ROUND(IF('📦 Product Input'!R49=1,('📦 Product Input'!H49/MAX(1,'📦 Product Input'!S49))*'📦 Product Input'!V49,'📦 Product Input'!V49/12),0),0)</f>
        <v>101</v>
      </c>
      <c r="H47" s="63" t="n">
        <f aca="false">IFERROR(ROUND(IF('📦 Product Input'!R49=1,('📦 Product Input'!I49/MAX(1,'📦 Product Input'!S49))*'📦 Product Input'!V49,'📦 Product Input'!V49/12),0),0)</f>
        <v>101</v>
      </c>
      <c r="I47" s="63" t="n">
        <f aca="false">IFERROR(ROUND(IF('📦 Product Input'!R49=1,('📦 Product Input'!J49/MAX(1,'📦 Product Input'!S49))*'📦 Product Input'!V49,'📦 Product Input'!V49/12),0),0)</f>
        <v>101</v>
      </c>
      <c r="J47" s="63" t="n">
        <f aca="false">IFERROR(ROUND(IF('📦 Product Input'!R49=1,('📦 Product Input'!K49/MAX(1,'📦 Product Input'!S49))*'📦 Product Input'!V49,'📦 Product Input'!V49/12),0),0)</f>
        <v>101</v>
      </c>
      <c r="K47" s="63" t="n">
        <f aca="false">IFERROR(ROUND(IF('📦 Product Input'!R49=1,('📦 Product Input'!L49/MAX(1,'📦 Product Input'!S49))*'📦 Product Input'!V49,'📦 Product Input'!V49/12),0),0)</f>
        <v>101</v>
      </c>
      <c r="L47" s="63" t="n">
        <f aca="false">IFERROR(ROUND(IF('📦 Product Input'!R49=1,('📦 Product Input'!M49/MAX(1,'📦 Product Input'!S49))*'📦 Product Input'!V49,'📦 Product Input'!V49/12),0),0)</f>
        <v>101</v>
      </c>
      <c r="M47" s="63" t="n">
        <f aca="false">IFERROR(ROUND(IF('📦 Product Input'!R49=1,('📦 Product Input'!N49/MAX(1,'📦 Product Input'!S49))*'📦 Product Input'!V49,'📦 Product Input'!V49/12),0),0)</f>
        <v>101</v>
      </c>
      <c r="N47" s="64" t="n">
        <f aca="false">SUM(B47:M47)</f>
        <v>1212</v>
      </c>
      <c r="O47" s="64" t="n">
        <f aca="false">'📦 Product Input'!W49</f>
        <v>0</v>
      </c>
    </row>
    <row r="48" customFormat="false" ht="19.5" hidden="false" customHeight="true" outlineLevel="0" collapsed="false">
      <c r="A48" s="62" t="str">
        <f aca="false">'📦 Product Input'!A50</f>
        <v>Product 45</v>
      </c>
      <c r="B48" s="63" t="n">
        <f aca="false">IFERROR(ROUND(IF('📦 Product Input'!R50=1,('📦 Product Input'!C50/MAX(1,'📦 Product Input'!S50))*'📦 Product Input'!V50,'📦 Product Input'!V50/12),0),0)</f>
        <v>101</v>
      </c>
      <c r="C48" s="63" t="n">
        <f aca="false">IFERROR(ROUND(IF('📦 Product Input'!R50=1,('📦 Product Input'!D50/MAX(1,'📦 Product Input'!S50))*'📦 Product Input'!V50,'📦 Product Input'!V50/12),0),0)</f>
        <v>101</v>
      </c>
      <c r="D48" s="63" t="n">
        <f aca="false">IFERROR(ROUND(IF('📦 Product Input'!R50=1,('📦 Product Input'!E50/MAX(1,'📦 Product Input'!S50))*'📦 Product Input'!V50,'📦 Product Input'!V50/12),0),0)</f>
        <v>101</v>
      </c>
      <c r="E48" s="63" t="n">
        <f aca="false">IFERROR(ROUND(IF('📦 Product Input'!R50=1,('📦 Product Input'!F50/MAX(1,'📦 Product Input'!S50))*'📦 Product Input'!V50,'📦 Product Input'!V50/12),0),0)</f>
        <v>101</v>
      </c>
      <c r="F48" s="63" t="n">
        <f aca="false">IFERROR(ROUND(IF('📦 Product Input'!R50=1,('📦 Product Input'!G50/MAX(1,'📦 Product Input'!S50))*'📦 Product Input'!V50,'📦 Product Input'!V50/12),0),0)</f>
        <v>101</v>
      </c>
      <c r="G48" s="63" t="n">
        <f aca="false">IFERROR(ROUND(IF('📦 Product Input'!R50=1,('📦 Product Input'!H50/MAX(1,'📦 Product Input'!S50))*'📦 Product Input'!V50,'📦 Product Input'!V50/12),0),0)</f>
        <v>101</v>
      </c>
      <c r="H48" s="63" t="n">
        <f aca="false">IFERROR(ROUND(IF('📦 Product Input'!R50=1,('📦 Product Input'!I50/MAX(1,'📦 Product Input'!S50))*'📦 Product Input'!V50,'📦 Product Input'!V50/12),0),0)</f>
        <v>101</v>
      </c>
      <c r="I48" s="63" t="n">
        <f aca="false">IFERROR(ROUND(IF('📦 Product Input'!R50=1,('📦 Product Input'!J50/MAX(1,'📦 Product Input'!S50))*'📦 Product Input'!V50,'📦 Product Input'!V50/12),0),0)</f>
        <v>101</v>
      </c>
      <c r="J48" s="63" t="n">
        <f aca="false">IFERROR(ROUND(IF('📦 Product Input'!R50=1,('📦 Product Input'!K50/MAX(1,'📦 Product Input'!S50))*'📦 Product Input'!V50,'📦 Product Input'!V50/12),0),0)</f>
        <v>101</v>
      </c>
      <c r="K48" s="63" t="n">
        <f aca="false">IFERROR(ROUND(IF('📦 Product Input'!R50=1,('📦 Product Input'!L50/MAX(1,'📦 Product Input'!S50))*'📦 Product Input'!V50,'📦 Product Input'!V50/12),0),0)</f>
        <v>101</v>
      </c>
      <c r="L48" s="63" t="n">
        <f aca="false">IFERROR(ROUND(IF('📦 Product Input'!R50=1,('📦 Product Input'!M50/MAX(1,'📦 Product Input'!S50))*'📦 Product Input'!V50,'📦 Product Input'!V50/12),0),0)</f>
        <v>101</v>
      </c>
      <c r="M48" s="63" t="n">
        <f aca="false">IFERROR(ROUND(IF('📦 Product Input'!R50=1,('📦 Product Input'!N50/MAX(1,'📦 Product Input'!S50))*'📦 Product Input'!V50,'📦 Product Input'!V50/12),0),0)</f>
        <v>101</v>
      </c>
      <c r="N48" s="64" t="n">
        <f aca="false">SUM(B48:M48)</f>
        <v>1212</v>
      </c>
      <c r="O48" s="64" t="n">
        <f aca="false">'📦 Product Input'!W50</f>
        <v>0</v>
      </c>
    </row>
    <row r="49" customFormat="false" ht="19.5" hidden="false" customHeight="true" outlineLevel="0" collapsed="false">
      <c r="A49" s="62" t="str">
        <f aca="false">'📦 Product Input'!A51</f>
        <v>Product 46</v>
      </c>
      <c r="B49" s="63" t="n">
        <f aca="false">IFERROR(ROUND(IF('📦 Product Input'!R51=1,('📦 Product Input'!C51/MAX(1,'📦 Product Input'!S51))*'📦 Product Input'!V51,'📦 Product Input'!V51/12),0),0)</f>
        <v>101</v>
      </c>
      <c r="C49" s="63" t="n">
        <f aca="false">IFERROR(ROUND(IF('📦 Product Input'!R51=1,('📦 Product Input'!D51/MAX(1,'📦 Product Input'!S51))*'📦 Product Input'!V51,'📦 Product Input'!V51/12),0),0)</f>
        <v>101</v>
      </c>
      <c r="D49" s="63" t="n">
        <f aca="false">IFERROR(ROUND(IF('📦 Product Input'!R51=1,('📦 Product Input'!E51/MAX(1,'📦 Product Input'!S51))*'📦 Product Input'!V51,'📦 Product Input'!V51/12),0),0)</f>
        <v>101</v>
      </c>
      <c r="E49" s="63" t="n">
        <f aca="false">IFERROR(ROUND(IF('📦 Product Input'!R51=1,('📦 Product Input'!F51/MAX(1,'📦 Product Input'!S51))*'📦 Product Input'!V51,'📦 Product Input'!V51/12),0),0)</f>
        <v>101</v>
      </c>
      <c r="F49" s="63" t="n">
        <f aca="false">IFERROR(ROUND(IF('📦 Product Input'!R51=1,('📦 Product Input'!G51/MAX(1,'📦 Product Input'!S51))*'📦 Product Input'!V51,'📦 Product Input'!V51/12),0),0)</f>
        <v>101</v>
      </c>
      <c r="G49" s="63" t="n">
        <f aca="false">IFERROR(ROUND(IF('📦 Product Input'!R51=1,('📦 Product Input'!H51/MAX(1,'📦 Product Input'!S51))*'📦 Product Input'!V51,'📦 Product Input'!V51/12),0),0)</f>
        <v>101</v>
      </c>
      <c r="H49" s="63" t="n">
        <f aca="false">IFERROR(ROUND(IF('📦 Product Input'!R51=1,('📦 Product Input'!I51/MAX(1,'📦 Product Input'!S51))*'📦 Product Input'!V51,'📦 Product Input'!V51/12),0),0)</f>
        <v>101</v>
      </c>
      <c r="I49" s="63" t="n">
        <f aca="false">IFERROR(ROUND(IF('📦 Product Input'!R51=1,('📦 Product Input'!J51/MAX(1,'📦 Product Input'!S51))*'📦 Product Input'!V51,'📦 Product Input'!V51/12),0),0)</f>
        <v>101</v>
      </c>
      <c r="J49" s="63" t="n">
        <f aca="false">IFERROR(ROUND(IF('📦 Product Input'!R51=1,('📦 Product Input'!K51/MAX(1,'📦 Product Input'!S51))*'📦 Product Input'!V51,'📦 Product Input'!V51/12),0),0)</f>
        <v>101</v>
      </c>
      <c r="K49" s="63" t="n">
        <f aca="false">IFERROR(ROUND(IF('📦 Product Input'!R51=1,('📦 Product Input'!L51/MAX(1,'📦 Product Input'!S51))*'📦 Product Input'!V51,'📦 Product Input'!V51/12),0),0)</f>
        <v>101</v>
      </c>
      <c r="L49" s="63" t="n">
        <f aca="false">IFERROR(ROUND(IF('📦 Product Input'!R51=1,('📦 Product Input'!M51/MAX(1,'📦 Product Input'!S51))*'📦 Product Input'!V51,'📦 Product Input'!V51/12),0),0)</f>
        <v>101</v>
      </c>
      <c r="M49" s="63" t="n">
        <f aca="false">IFERROR(ROUND(IF('📦 Product Input'!R51=1,('📦 Product Input'!N51/MAX(1,'📦 Product Input'!S51))*'📦 Product Input'!V51,'📦 Product Input'!V51/12),0),0)</f>
        <v>101</v>
      </c>
      <c r="N49" s="64" t="n">
        <f aca="false">SUM(B49:M49)</f>
        <v>1212</v>
      </c>
      <c r="O49" s="64" t="n">
        <f aca="false">'📦 Product Input'!W51</f>
        <v>0</v>
      </c>
    </row>
    <row r="50" customFormat="false" ht="19.5" hidden="false" customHeight="true" outlineLevel="0" collapsed="false">
      <c r="A50" s="62" t="str">
        <f aca="false">'📦 Product Input'!A52</f>
        <v>Product 47</v>
      </c>
      <c r="B50" s="63" t="n">
        <f aca="false">IFERROR(ROUND(IF('📦 Product Input'!R52=1,('📦 Product Input'!C52/MAX(1,'📦 Product Input'!S52))*'📦 Product Input'!V52,'📦 Product Input'!V52/12),0),0)</f>
        <v>101</v>
      </c>
      <c r="C50" s="63" t="n">
        <f aca="false">IFERROR(ROUND(IF('📦 Product Input'!R52=1,('📦 Product Input'!D52/MAX(1,'📦 Product Input'!S52))*'📦 Product Input'!V52,'📦 Product Input'!V52/12),0),0)</f>
        <v>101</v>
      </c>
      <c r="D50" s="63" t="n">
        <f aca="false">IFERROR(ROUND(IF('📦 Product Input'!R52=1,('📦 Product Input'!E52/MAX(1,'📦 Product Input'!S52))*'📦 Product Input'!V52,'📦 Product Input'!V52/12),0),0)</f>
        <v>101</v>
      </c>
      <c r="E50" s="63" t="n">
        <f aca="false">IFERROR(ROUND(IF('📦 Product Input'!R52=1,('📦 Product Input'!F52/MAX(1,'📦 Product Input'!S52))*'📦 Product Input'!V52,'📦 Product Input'!V52/12),0),0)</f>
        <v>101</v>
      </c>
      <c r="F50" s="63" t="n">
        <f aca="false">IFERROR(ROUND(IF('📦 Product Input'!R52=1,('📦 Product Input'!G52/MAX(1,'📦 Product Input'!S52))*'📦 Product Input'!V52,'📦 Product Input'!V52/12),0),0)</f>
        <v>101</v>
      </c>
      <c r="G50" s="63" t="n">
        <f aca="false">IFERROR(ROUND(IF('📦 Product Input'!R52=1,('📦 Product Input'!H52/MAX(1,'📦 Product Input'!S52))*'📦 Product Input'!V52,'📦 Product Input'!V52/12),0),0)</f>
        <v>101</v>
      </c>
      <c r="H50" s="63" t="n">
        <f aca="false">IFERROR(ROUND(IF('📦 Product Input'!R52=1,('📦 Product Input'!I52/MAX(1,'📦 Product Input'!S52))*'📦 Product Input'!V52,'📦 Product Input'!V52/12),0),0)</f>
        <v>101</v>
      </c>
      <c r="I50" s="63" t="n">
        <f aca="false">IFERROR(ROUND(IF('📦 Product Input'!R52=1,('📦 Product Input'!J52/MAX(1,'📦 Product Input'!S52))*'📦 Product Input'!V52,'📦 Product Input'!V52/12),0),0)</f>
        <v>101</v>
      </c>
      <c r="J50" s="63" t="n">
        <f aca="false">IFERROR(ROUND(IF('📦 Product Input'!R52=1,('📦 Product Input'!K52/MAX(1,'📦 Product Input'!S52))*'📦 Product Input'!V52,'📦 Product Input'!V52/12),0),0)</f>
        <v>101</v>
      </c>
      <c r="K50" s="63" t="n">
        <f aca="false">IFERROR(ROUND(IF('📦 Product Input'!R52=1,('📦 Product Input'!L52/MAX(1,'📦 Product Input'!S52))*'📦 Product Input'!V52,'📦 Product Input'!V52/12),0),0)</f>
        <v>101</v>
      </c>
      <c r="L50" s="63" t="n">
        <f aca="false">IFERROR(ROUND(IF('📦 Product Input'!R52=1,('📦 Product Input'!M52/MAX(1,'📦 Product Input'!S52))*'📦 Product Input'!V52,'📦 Product Input'!V52/12),0),0)</f>
        <v>101</v>
      </c>
      <c r="M50" s="63" t="n">
        <f aca="false">IFERROR(ROUND(IF('📦 Product Input'!R52=1,('📦 Product Input'!N52/MAX(1,'📦 Product Input'!S52))*'📦 Product Input'!V52,'📦 Product Input'!V52/12),0),0)</f>
        <v>101</v>
      </c>
      <c r="N50" s="64" t="n">
        <f aca="false">SUM(B50:M50)</f>
        <v>1212</v>
      </c>
      <c r="O50" s="64" t="n">
        <f aca="false">'📦 Product Input'!W52</f>
        <v>0</v>
      </c>
    </row>
    <row r="51" customFormat="false" ht="19.5" hidden="false" customHeight="true" outlineLevel="0" collapsed="false">
      <c r="A51" s="62" t="str">
        <f aca="false">'📦 Product Input'!A53</f>
        <v>Product 48</v>
      </c>
      <c r="B51" s="63" t="n">
        <f aca="false">IFERROR(ROUND(IF('📦 Product Input'!R53=1,('📦 Product Input'!C53/MAX(1,'📦 Product Input'!S53))*'📦 Product Input'!V53,'📦 Product Input'!V53/12),0),0)</f>
        <v>101</v>
      </c>
      <c r="C51" s="63" t="n">
        <f aca="false">IFERROR(ROUND(IF('📦 Product Input'!R53=1,('📦 Product Input'!D53/MAX(1,'📦 Product Input'!S53))*'📦 Product Input'!V53,'📦 Product Input'!V53/12),0),0)</f>
        <v>101</v>
      </c>
      <c r="D51" s="63" t="n">
        <f aca="false">IFERROR(ROUND(IF('📦 Product Input'!R53=1,('📦 Product Input'!E53/MAX(1,'📦 Product Input'!S53))*'📦 Product Input'!V53,'📦 Product Input'!V53/12),0),0)</f>
        <v>101</v>
      </c>
      <c r="E51" s="63" t="n">
        <f aca="false">IFERROR(ROUND(IF('📦 Product Input'!R53=1,('📦 Product Input'!F53/MAX(1,'📦 Product Input'!S53))*'📦 Product Input'!V53,'📦 Product Input'!V53/12),0),0)</f>
        <v>101</v>
      </c>
      <c r="F51" s="63" t="n">
        <f aca="false">IFERROR(ROUND(IF('📦 Product Input'!R53=1,('📦 Product Input'!G53/MAX(1,'📦 Product Input'!S53))*'📦 Product Input'!V53,'📦 Product Input'!V53/12),0),0)</f>
        <v>101</v>
      </c>
      <c r="G51" s="63" t="n">
        <f aca="false">IFERROR(ROUND(IF('📦 Product Input'!R53=1,('📦 Product Input'!H53/MAX(1,'📦 Product Input'!S53))*'📦 Product Input'!V53,'📦 Product Input'!V53/12),0),0)</f>
        <v>101</v>
      </c>
      <c r="H51" s="63" t="n">
        <f aca="false">IFERROR(ROUND(IF('📦 Product Input'!R53=1,('📦 Product Input'!I53/MAX(1,'📦 Product Input'!S53))*'📦 Product Input'!V53,'📦 Product Input'!V53/12),0),0)</f>
        <v>101</v>
      </c>
      <c r="I51" s="63" t="n">
        <f aca="false">IFERROR(ROUND(IF('📦 Product Input'!R53=1,('📦 Product Input'!J53/MAX(1,'📦 Product Input'!S53))*'📦 Product Input'!V53,'📦 Product Input'!V53/12),0),0)</f>
        <v>101</v>
      </c>
      <c r="J51" s="63" t="n">
        <f aca="false">IFERROR(ROUND(IF('📦 Product Input'!R53=1,('📦 Product Input'!K53/MAX(1,'📦 Product Input'!S53))*'📦 Product Input'!V53,'📦 Product Input'!V53/12),0),0)</f>
        <v>101</v>
      </c>
      <c r="K51" s="63" t="n">
        <f aca="false">IFERROR(ROUND(IF('📦 Product Input'!R53=1,('📦 Product Input'!L53/MAX(1,'📦 Product Input'!S53))*'📦 Product Input'!V53,'📦 Product Input'!V53/12),0),0)</f>
        <v>101</v>
      </c>
      <c r="L51" s="63" t="n">
        <f aca="false">IFERROR(ROUND(IF('📦 Product Input'!R53=1,('📦 Product Input'!M53/MAX(1,'📦 Product Input'!S53))*'📦 Product Input'!V53,'📦 Product Input'!V53/12),0),0)</f>
        <v>101</v>
      </c>
      <c r="M51" s="63" t="n">
        <f aca="false">IFERROR(ROUND(IF('📦 Product Input'!R53=1,('📦 Product Input'!N53/MAX(1,'📦 Product Input'!S53))*'📦 Product Input'!V53,'📦 Product Input'!V53/12),0),0)</f>
        <v>101</v>
      </c>
      <c r="N51" s="64" t="n">
        <f aca="false">SUM(B51:M51)</f>
        <v>1212</v>
      </c>
      <c r="O51" s="64" t="n">
        <f aca="false">'📦 Product Input'!W53</f>
        <v>0</v>
      </c>
    </row>
    <row r="52" customFormat="false" ht="19.5" hidden="false" customHeight="true" outlineLevel="0" collapsed="false">
      <c r="A52" s="62" t="str">
        <f aca="false">'📦 Product Input'!A54</f>
        <v>Product 49</v>
      </c>
      <c r="B52" s="63" t="n">
        <f aca="false">IFERROR(ROUND(IF('📦 Product Input'!R54=1,('📦 Product Input'!C54/MAX(1,'📦 Product Input'!S54))*'📦 Product Input'!V54,'📦 Product Input'!V54/12),0),0)</f>
        <v>101</v>
      </c>
      <c r="C52" s="63" t="n">
        <f aca="false">IFERROR(ROUND(IF('📦 Product Input'!R54=1,('📦 Product Input'!D54/MAX(1,'📦 Product Input'!S54))*'📦 Product Input'!V54,'📦 Product Input'!V54/12),0),0)</f>
        <v>101</v>
      </c>
      <c r="D52" s="63" t="n">
        <f aca="false">IFERROR(ROUND(IF('📦 Product Input'!R54=1,('📦 Product Input'!E54/MAX(1,'📦 Product Input'!S54))*'📦 Product Input'!V54,'📦 Product Input'!V54/12),0),0)</f>
        <v>101</v>
      </c>
      <c r="E52" s="63" t="n">
        <f aca="false">IFERROR(ROUND(IF('📦 Product Input'!R54=1,('📦 Product Input'!F54/MAX(1,'📦 Product Input'!S54))*'📦 Product Input'!V54,'📦 Product Input'!V54/12),0),0)</f>
        <v>101</v>
      </c>
      <c r="F52" s="63" t="n">
        <f aca="false">IFERROR(ROUND(IF('📦 Product Input'!R54=1,('📦 Product Input'!G54/MAX(1,'📦 Product Input'!S54))*'📦 Product Input'!V54,'📦 Product Input'!V54/12),0),0)</f>
        <v>101</v>
      </c>
      <c r="G52" s="63" t="n">
        <f aca="false">IFERROR(ROUND(IF('📦 Product Input'!R54=1,('📦 Product Input'!H54/MAX(1,'📦 Product Input'!S54))*'📦 Product Input'!V54,'📦 Product Input'!V54/12),0),0)</f>
        <v>101</v>
      </c>
      <c r="H52" s="63" t="n">
        <f aca="false">IFERROR(ROUND(IF('📦 Product Input'!R54=1,('📦 Product Input'!I54/MAX(1,'📦 Product Input'!S54))*'📦 Product Input'!V54,'📦 Product Input'!V54/12),0),0)</f>
        <v>101</v>
      </c>
      <c r="I52" s="63" t="n">
        <f aca="false">IFERROR(ROUND(IF('📦 Product Input'!R54=1,('📦 Product Input'!J54/MAX(1,'📦 Product Input'!S54))*'📦 Product Input'!V54,'📦 Product Input'!V54/12),0),0)</f>
        <v>101</v>
      </c>
      <c r="J52" s="63" t="n">
        <f aca="false">IFERROR(ROUND(IF('📦 Product Input'!R54=1,('📦 Product Input'!K54/MAX(1,'📦 Product Input'!S54))*'📦 Product Input'!V54,'📦 Product Input'!V54/12),0),0)</f>
        <v>101</v>
      </c>
      <c r="K52" s="63" t="n">
        <f aca="false">IFERROR(ROUND(IF('📦 Product Input'!R54=1,('📦 Product Input'!L54/MAX(1,'📦 Product Input'!S54))*'📦 Product Input'!V54,'📦 Product Input'!V54/12),0),0)</f>
        <v>101</v>
      </c>
      <c r="L52" s="63" t="n">
        <f aca="false">IFERROR(ROUND(IF('📦 Product Input'!R54=1,('📦 Product Input'!M54/MAX(1,'📦 Product Input'!S54))*'📦 Product Input'!V54,'📦 Product Input'!V54/12),0),0)</f>
        <v>101</v>
      </c>
      <c r="M52" s="63" t="n">
        <f aca="false">IFERROR(ROUND(IF('📦 Product Input'!R54=1,('📦 Product Input'!N54/MAX(1,'📦 Product Input'!S54))*'📦 Product Input'!V54,'📦 Product Input'!V54/12),0),0)</f>
        <v>101</v>
      </c>
      <c r="N52" s="64" t="n">
        <f aca="false">SUM(B52:M52)</f>
        <v>1212</v>
      </c>
      <c r="O52" s="64" t="n">
        <f aca="false">'📦 Product Input'!W54</f>
        <v>0</v>
      </c>
    </row>
    <row r="53" customFormat="false" ht="19.5" hidden="false" customHeight="true" outlineLevel="0" collapsed="false">
      <c r="A53" s="62" t="str">
        <f aca="false">'📦 Product Input'!A55</f>
        <v>Product 50</v>
      </c>
      <c r="B53" s="63" t="n">
        <f aca="false">IFERROR(ROUND(IF('📦 Product Input'!R55=1,('📦 Product Input'!C55/MAX(1,'📦 Product Input'!S55))*'📦 Product Input'!V55,'📦 Product Input'!V55/12),0),0)</f>
        <v>101</v>
      </c>
      <c r="C53" s="63" t="n">
        <f aca="false">IFERROR(ROUND(IF('📦 Product Input'!R55=1,('📦 Product Input'!D55/MAX(1,'📦 Product Input'!S55))*'📦 Product Input'!V55,'📦 Product Input'!V55/12),0),0)</f>
        <v>101</v>
      </c>
      <c r="D53" s="63" t="n">
        <f aca="false">IFERROR(ROUND(IF('📦 Product Input'!R55=1,('📦 Product Input'!E55/MAX(1,'📦 Product Input'!S55))*'📦 Product Input'!V55,'📦 Product Input'!V55/12),0),0)</f>
        <v>101</v>
      </c>
      <c r="E53" s="63" t="n">
        <f aca="false">IFERROR(ROUND(IF('📦 Product Input'!R55=1,('📦 Product Input'!F55/MAX(1,'📦 Product Input'!S55))*'📦 Product Input'!V55,'📦 Product Input'!V55/12),0),0)</f>
        <v>101</v>
      </c>
      <c r="F53" s="63" t="n">
        <f aca="false">IFERROR(ROUND(IF('📦 Product Input'!R55=1,('📦 Product Input'!G55/MAX(1,'📦 Product Input'!S55))*'📦 Product Input'!V55,'📦 Product Input'!V55/12),0),0)</f>
        <v>101</v>
      </c>
      <c r="G53" s="63" t="n">
        <f aca="false">IFERROR(ROUND(IF('📦 Product Input'!R55=1,('📦 Product Input'!H55/MAX(1,'📦 Product Input'!S55))*'📦 Product Input'!V55,'📦 Product Input'!V55/12),0),0)</f>
        <v>101</v>
      </c>
      <c r="H53" s="63" t="n">
        <f aca="false">IFERROR(ROUND(IF('📦 Product Input'!R55=1,('📦 Product Input'!I55/MAX(1,'📦 Product Input'!S55))*'📦 Product Input'!V55,'📦 Product Input'!V55/12),0),0)</f>
        <v>101</v>
      </c>
      <c r="I53" s="63" t="n">
        <f aca="false">IFERROR(ROUND(IF('📦 Product Input'!R55=1,('📦 Product Input'!J55/MAX(1,'📦 Product Input'!S55))*'📦 Product Input'!V55,'📦 Product Input'!V55/12),0),0)</f>
        <v>101</v>
      </c>
      <c r="J53" s="63" t="n">
        <f aca="false">IFERROR(ROUND(IF('📦 Product Input'!R55=1,('📦 Product Input'!K55/MAX(1,'📦 Product Input'!S55))*'📦 Product Input'!V55,'📦 Product Input'!V55/12),0),0)</f>
        <v>101</v>
      </c>
      <c r="K53" s="63" t="n">
        <f aca="false">IFERROR(ROUND(IF('📦 Product Input'!R55=1,('📦 Product Input'!L55/MAX(1,'📦 Product Input'!S55))*'📦 Product Input'!V55,'📦 Product Input'!V55/12),0),0)</f>
        <v>101</v>
      </c>
      <c r="L53" s="63" t="n">
        <f aca="false">IFERROR(ROUND(IF('📦 Product Input'!R55=1,('📦 Product Input'!M55/MAX(1,'📦 Product Input'!S55))*'📦 Product Input'!V55,'📦 Product Input'!V55/12),0),0)</f>
        <v>101</v>
      </c>
      <c r="M53" s="63" t="n">
        <f aca="false">IFERROR(ROUND(IF('📦 Product Input'!R55=1,('📦 Product Input'!N55/MAX(1,'📦 Product Input'!S55))*'📦 Product Input'!V55,'📦 Product Input'!V55/12),0),0)</f>
        <v>101</v>
      </c>
      <c r="N53" s="64" t="n">
        <f aca="false">SUM(B53:M53)</f>
        <v>1212</v>
      </c>
      <c r="O53" s="64" t="n">
        <f aca="false">'📦 Product Input'!W55</f>
        <v>0</v>
      </c>
    </row>
    <row r="54" customFormat="false" ht="21.75" hidden="false" customHeight="true" outlineLevel="0" collapsed="false">
      <c r="A54" s="8" t="s">
        <v>292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customFormat="false" ht="21.75" hidden="false" customHeight="true" outlineLevel="0" collapsed="false">
      <c r="A55" s="22" t="s">
        <v>293</v>
      </c>
      <c r="B55" s="22" t="s">
        <v>294</v>
      </c>
      <c r="C55" s="22" t="s">
        <v>295</v>
      </c>
      <c r="D55" s="22" t="s">
        <v>296</v>
      </c>
      <c r="E55" s="22" t="s">
        <v>297</v>
      </c>
    </row>
    <row r="59" customFormat="false" ht="21.75" hidden="false" customHeight="true" outlineLevel="0" collapsed="false">
      <c r="A59" s="30" t="s">
        <v>234</v>
      </c>
      <c r="B59" s="47" t="n">
        <f aca="false">SUM(B4:B53)</f>
        <v>5104</v>
      </c>
      <c r="C59" s="47" t="n">
        <f aca="false">IFERROR(SUMPRODUCT('📦 Product Input'!V6:V55,'📦 Product Input'!B6:B55)*(B59/MAX(1,N59)),0)</f>
        <v>6320684884.8</v>
      </c>
      <c r="D59" s="65" t="n">
        <f aca="false">IFERROR(C59/SUM(C59:C70),0)</f>
        <v>0.0803134490409277</v>
      </c>
      <c r="E59" s="65" t="n">
        <f aca="false">IFERROR(C59/AVERAGE(C59:C70)-1,0)</f>
        <v>-0.0362386115088668</v>
      </c>
    </row>
    <row r="60" customFormat="false" ht="21.75" hidden="false" customHeight="true" outlineLevel="0" collapsed="false">
      <c r="A60" s="30" t="s">
        <v>235</v>
      </c>
      <c r="B60" s="47" t="n">
        <f aca="false">SUM(C4:C53)</f>
        <v>4979</v>
      </c>
      <c r="C60" s="47" t="n">
        <f aca="false">IFERROR(SUMPRODUCT('📦 Product Input'!V6:V55,'📦 Product Input'!B6:B55)*(B60/MAX(1,N60)),0)</f>
        <v>6165887547.3</v>
      </c>
      <c r="D60" s="65" t="n">
        <f aca="false">IFERROR(C60/SUM(C59:C70),0)</f>
        <v>0.0783465248383188</v>
      </c>
      <c r="E60" s="65" t="n">
        <f aca="false">IFERROR(C60/AVERAGE(C59:C70)-1,0)</f>
        <v>-0.0598417019401739</v>
      </c>
    </row>
    <row r="61" customFormat="false" ht="21.75" hidden="false" customHeight="true" outlineLevel="0" collapsed="false">
      <c r="A61" s="30" t="s">
        <v>236</v>
      </c>
      <c r="B61" s="47" t="n">
        <f aca="false">SUM(D4:D53)</f>
        <v>5261</v>
      </c>
      <c r="C61" s="47" t="n">
        <f aca="false">IFERROR(SUMPRODUCT('📦 Product Input'!V6:V55,'📦 Product Input'!B6:B55)*(B61/MAX(1,N61)),0)</f>
        <v>6515110340.7</v>
      </c>
      <c r="D61" s="65" t="n">
        <f aca="false">IFERROR(C61/SUM(C59:C70),0)</f>
        <v>0.0827839058394046</v>
      </c>
      <c r="E61" s="65" t="n">
        <f aca="false">IFERROR(C61/AVERAGE(C59:C70)-1,0)</f>
        <v>-0.00659312992714511</v>
      </c>
    </row>
    <row r="62" customFormat="false" ht="21.75" hidden="false" customHeight="true" outlineLevel="0" collapsed="false">
      <c r="A62" s="30" t="s">
        <v>237</v>
      </c>
      <c r="B62" s="47" t="n">
        <f aca="false">SUM(E4:E53)</f>
        <v>5171</v>
      </c>
      <c r="C62" s="47" t="n">
        <f aca="false">IFERROR(SUMPRODUCT('📦 Product Input'!V6:V55,'📦 Product Input'!B6:B55)*(B62/MAX(1,N62)),0)</f>
        <v>6403656257.7</v>
      </c>
      <c r="D62" s="65" t="n">
        <f aca="false">IFERROR(C62/SUM(C59:C70),0)</f>
        <v>0.0813677204135261</v>
      </c>
      <c r="E62" s="65" t="n">
        <f aca="false">IFERROR(C62/AVERAGE(C59:C70)-1,0)</f>
        <v>-0.0235873550376862</v>
      </c>
    </row>
    <row r="63" customFormat="false" ht="21.75" hidden="false" customHeight="true" outlineLevel="0" collapsed="false">
      <c r="A63" s="30" t="s">
        <v>238</v>
      </c>
      <c r="B63" s="47" t="n">
        <f aca="false">SUM(F4:F53)</f>
        <v>5403</v>
      </c>
      <c r="C63" s="47" t="n">
        <f aca="false">IFERROR(SUMPRODUCT('📦 Product Input'!V6:V55,'📦 Product Input'!B6:B55)*(B63/MAX(1,N63)),0)</f>
        <v>6690960116.1</v>
      </c>
      <c r="D63" s="65" t="n">
        <f aca="false">IFERROR(C63/SUM(C59:C70),0)</f>
        <v>0.0850183317335683</v>
      </c>
      <c r="E63" s="65" t="n">
        <f aca="false">IFERROR(C63/AVERAGE(C59:C70)-1,0)</f>
        <v>0.0202199808028198</v>
      </c>
    </row>
    <row r="64" customFormat="false" ht="21.75" hidden="false" customHeight="true" outlineLevel="0" collapsed="false">
      <c r="A64" s="30" t="s">
        <v>239</v>
      </c>
      <c r="B64" s="47" t="n">
        <f aca="false">SUM(G4:G53)</f>
        <v>5534</v>
      </c>
      <c r="C64" s="47" t="n">
        <f aca="false">IFERROR(SUMPRODUCT('📦 Product Input'!V6:V55,'📦 Product Input'!B6:B55)*(B64/MAX(1,N64)),0)</f>
        <v>6853187725.8</v>
      </c>
      <c r="D64" s="65" t="n">
        <f aca="false">IFERROR(C64/SUM(C59:C70),0)</f>
        <v>0.0870796682979025</v>
      </c>
      <c r="E64" s="65" t="n">
        <f aca="false">IFERROR(C64/AVERAGE(C59:C70)-1,0)</f>
        <v>0.0449560195748298</v>
      </c>
    </row>
    <row r="65" customFormat="false" ht="21.75" hidden="false" customHeight="true" outlineLevel="0" collapsed="false">
      <c r="A65" s="30" t="s">
        <v>240</v>
      </c>
      <c r="B65" s="47" t="n">
        <f aca="false">SUM(H4:H53)</f>
        <v>5056</v>
      </c>
      <c r="C65" s="47" t="n">
        <f aca="false">IFERROR(SUMPRODUCT('📦 Product Input'!V6:V55,'📦 Product Input'!B6:B55)*(B65/MAX(1,N65)),0)</f>
        <v>6261242707.2</v>
      </c>
      <c r="D65" s="65" t="n">
        <f aca="false">IFERROR(C65/SUM(C59:C70),0)</f>
        <v>0.0795581501471259</v>
      </c>
      <c r="E65" s="65" t="n">
        <f aca="false">IFERROR(C65/AVERAGE(C59:C70)-1,0)</f>
        <v>-0.0453021982344888</v>
      </c>
    </row>
    <row r="66" customFormat="false" ht="21.75" hidden="false" customHeight="true" outlineLevel="0" collapsed="false">
      <c r="A66" s="30" t="s">
        <v>241</v>
      </c>
      <c r="B66" s="47" t="n">
        <f aca="false">SUM(I4:I53)</f>
        <v>4862</v>
      </c>
      <c r="C66" s="47" t="n">
        <f aca="false">IFERROR(SUMPRODUCT('📦 Product Input'!V6:V55,'📦 Product Input'!B6:B55)*(B66/MAX(1,N66)),0)</f>
        <v>6020997239.4</v>
      </c>
      <c r="D66" s="65" t="n">
        <f aca="false">IFERROR(C66/SUM(C59:C70),0)</f>
        <v>0.0765054837846769</v>
      </c>
      <c r="E66" s="65" t="n">
        <f aca="false">IFERROR(C66/AVERAGE(C59:C70)-1,0)</f>
        <v>-0.0819341945838775</v>
      </c>
    </row>
    <row r="67" customFormat="false" ht="21.75" hidden="false" customHeight="true" outlineLevel="0" collapsed="false">
      <c r="A67" s="30" t="s">
        <v>242</v>
      </c>
      <c r="B67" s="47" t="n">
        <f aca="false">SUM(J4:J53)</f>
        <v>5651</v>
      </c>
      <c r="C67" s="47" t="n">
        <f aca="false">IFERROR(SUMPRODUCT('📦 Product Input'!V6:V55,'📦 Product Input'!B6:B55)*(B67/MAX(1,N67)),0)</f>
        <v>6998078033.7</v>
      </c>
      <c r="D67" s="65" t="n">
        <f aca="false">IFERROR(C67/SUM(C59:C70),0)</f>
        <v>0.0889207093515444</v>
      </c>
      <c r="E67" s="65" t="n">
        <f aca="false">IFERROR(C67/AVERAGE(C59:C70)-1,0)</f>
        <v>0.0670485122185331</v>
      </c>
    </row>
    <row r="68" customFormat="false" ht="21.75" hidden="false" customHeight="true" outlineLevel="0" collapsed="false">
      <c r="A68" s="30" t="s">
        <v>243</v>
      </c>
      <c r="B68" s="47" t="n">
        <f aca="false">SUM(K4:K53)</f>
        <v>5393</v>
      </c>
      <c r="C68" s="47" t="n">
        <f aca="false">IFERROR(SUMPRODUCT('📦 Product Input'!V6:V55,'📦 Product Input'!B6:B55)*(B68/MAX(1,N68)),0)</f>
        <v>6678576329.1</v>
      </c>
      <c r="D68" s="65" t="n">
        <f aca="false">IFERROR(C68/SUM(C59:C70),0)</f>
        <v>0.0848609777973596</v>
      </c>
      <c r="E68" s="65" t="n">
        <f aca="false">IFERROR(C68/AVERAGE(C59:C70)-1,0)</f>
        <v>0.0183317335683153</v>
      </c>
    </row>
    <row r="69" customFormat="false" ht="21.75" hidden="false" customHeight="true" outlineLevel="0" collapsed="false">
      <c r="A69" s="30" t="s">
        <v>244</v>
      </c>
      <c r="B69" s="47" t="n">
        <f aca="false">SUM(L4:L53)</f>
        <v>5269</v>
      </c>
      <c r="C69" s="47" t="n">
        <f aca="false">IFERROR(SUMPRODUCT('📦 Product Input'!V6:V55,'📦 Product Input'!B6:B55)*(B69/MAX(1,N69)),0)</f>
        <v>6525017370.3</v>
      </c>
      <c r="D69" s="65" t="n">
        <f aca="false">IFERROR(C69/SUM(C59:C70),0)</f>
        <v>0.0829097889883715</v>
      </c>
      <c r="E69" s="65" t="n">
        <f aca="false">IFERROR(C69/AVERAGE(C59:C70)-1,0)</f>
        <v>-0.00508253213954135</v>
      </c>
    </row>
    <row r="70" customFormat="false" ht="21.75" hidden="false" customHeight="true" outlineLevel="0" collapsed="false">
      <c r="A70" s="30" t="s">
        <v>245</v>
      </c>
      <c r="B70" s="47" t="n">
        <f aca="false">SUM(M4:M53)</f>
        <v>5868</v>
      </c>
      <c r="C70" s="47" t="n">
        <f aca="false">IFERROR(SUMPRODUCT('📦 Product Input'!V6:V55,'📦 Product Input'!B6:B55)*(B70/MAX(1,N70)),0)</f>
        <v>7266806211.6</v>
      </c>
      <c r="D70" s="65" t="n">
        <f aca="false">IFERROR(C70/SUM(C59:C70),0)</f>
        <v>0.0923352897672735</v>
      </c>
      <c r="E70" s="65" t="n">
        <f aca="false">IFERROR(C70/AVERAGE(C59:C70)-1,0)</f>
        <v>0.108023477207282</v>
      </c>
    </row>
    <row r="71" customFormat="false" ht="24" hidden="false" customHeight="true" outlineLevel="0" collapsed="false">
      <c r="A71" s="53" t="s">
        <v>298</v>
      </c>
      <c r="B71" s="56" t="n">
        <f aca="false">SUM(B59:B70)</f>
        <v>63551</v>
      </c>
      <c r="C71" s="56" t="n">
        <f aca="false">SUM(C59:C70)</f>
        <v>78700204763.7</v>
      </c>
    </row>
  </sheetData>
  <mergeCells count="3">
    <mergeCell ref="A1:O1"/>
    <mergeCell ref="A2:O2"/>
    <mergeCell ref="A54:O5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2026-03-26T07:20:13Z</dcterms:created>
  <dc:creator>openpyxl</dc:creator>
  <dc:description/>
  <dc:language>en-US</dc:language>
  <cp:lastModifiedBy/>
  <dcterms:modified xsi:type="dcterms:W3CDTF">2026-03-26T07:21:27Z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